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ocumentos Antiguos\Mujica\ThomasGreg\Brevetes2017\Aduanas\"/>
    </mc:Choice>
  </mc:AlternateContent>
  <bookViews>
    <workbookView xWindow="0" yWindow="465" windowWidth="28800" windowHeight="15720"/>
  </bookViews>
  <sheets>
    <sheet name="Detalle costos de importación" sheetId="1" r:id="rId1"/>
    <sheet name="Lambayeque" sheetId="2" r:id="rId2"/>
    <sheet name="Arequipa" sheetId="3" r:id="rId3"/>
    <sheet name="La Libertad" sheetId="4" r:id="rId4"/>
    <sheet name="Piura" sheetId="5" r:id="rId5"/>
    <sheet name="Ica" sheetId="6" r:id="rId6"/>
    <sheet name="Tacna" sheetId="7" r:id="rId7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0" i="2" l="1"/>
  <c r="H15" i="7"/>
  <c r="I15" i="7" s="1"/>
  <c r="E15" i="7"/>
  <c r="I14" i="7"/>
  <c r="H14" i="7"/>
  <c r="E14" i="7"/>
  <c r="H13" i="7"/>
  <c r="I13" i="7" s="1"/>
  <c r="G13" i="7"/>
  <c r="E13" i="7"/>
  <c r="H12" i="7"/>
  <c r="I12" i="7" s="1"/>
  <c r="E12" i="7"/>
  <c r="H11" i="7"/>
  <c r="I11" i="7" s="1"/>
  <c r="E11" i="7"/>
  <c r="E16" i="7" s="1"/>
  <c r="H10" i="7"/>
  <c r="I10" i="7" s="1"/>
  <c r="E10" i="7"/>
  <c r="I9" i="7"/>
  <c r="H9" i="7"/>
  <c r="E9" i="7"/>
  <c r="H13" i="6"/>
  <c r="I13" i="6" s="1"/>
  <c r="E13" i="6"/>
  <c r="H12" i="6"/>
  <c r="I12" i="6" s="1"/>
  <c r="E12" i="6"/>
  <c r="I11" i="6"/>
  <c r="H11" i="6"/>
  <c r="E11" i="6"/>
  <c r="H10" i="6"/>
  <c r="I10" i="6" s="1"/>
  <c r="E10" i="6"/>
  <c r="H9" i="6"/>
  <c r="I9" i="6" s="1"/>
  <c r="I14" i="6" s="1"/>
  <c r="E9" i="6"/>
  <c r="E14" i="6" s="1"/>
  <c r="H17" i="5"/>
  <c r="I17" i="5" s="1"/>
  <c r="E17" i="5"/>
  <c r="I16" i="5"/>
  <c r="H16" i="5"/>
  <c r="E16" i="5"/>
  <c r="H15" i="5"/>
  <c r="I15" i="5" s="1"/>
  <c r="G15" i="5"/>
  <c r="E15" i="5"/>
  <c r="H14" i="5"/>
  <c r="I14" i="5" s="1"/>
  <c r="E14" i="5"/>
  <c r="H13" i="5"/>
  <c r="I13" i="5" s="1"/>
  <c r="E13" i="5"/>
  <c r="H12" i="5"/>
  <c r="I12" i="5" s="1"/>
  <c r="E12" i="5"/>
  <c r="I11" i="5"/>
  <c r="H11" i="5"/>
  <c r="E11" i="5"/>
  <c r="H10" i="5"/>
  <c r="I10" i="5" s="1"/>
  <c r="E10" i="5"/>
  <c r="H9" i="5"/>
  <c r="I9" i="5" s="1"/>
  <c r="E9" i="5"/>
  <c r="E18" i="5" s="1"/>
  <c r="H17" i="4"/>
  <c r="I17" i="4" s="1"/>
  <c r="E17" i="4"/>
  <c r="G16" i="4"/>
  <c r="H16" i="4" s="1"/>
  <c r="I16" i="4" s="1"/>
  <c r="E16" i="4"/>
  <c r="I15" i="4"/>
  <c r="H15" i="4"/>
  <c r="E15" i="4"/>
  <c r="H14" i="4"/>
  <c r="I14" i="4" s="1"/>
  <c r="E14" i="4"/>
  <c r="H13" i="4"/>
  <c r="I13" i="4" s="1"/>
  <c r="E13" i="4"/>
  <c r="H12" i="4"/>
  <c r="I12" i="4" s="1"/>
  <c r="E12" i="4"/>
  <c r="I11" i="4"/>
  <c r="H11" i="4"/>
  <c r="E11" i="4"/>
  <c r="H10" i="4"/>
  <c r="I10" i="4" s="1"/>
  <c r="E10" i="4"/>
  <c r="H9" i="4"/>
  <c r="I9" i="4" s="1"/>
  <c r="E9" i="4"/>
  <c r="E18" i="4" s="1"/>
  <c r="H29" i="3"/>
  <c r="I29" i="3" s="1"/>
  <c r="E29" i="3"/>
  <c r="H28" i="3"/>
  <c r="I28" i="3" s="1"/>
  <c r="E28" i="3"/>
  <c r="I27" i="3"/>
  <c r="H27" i="3"/>
  <c r="E27" i="3"/>
  <c r="H26" i="3"/>
  <c r="I26" i="3" s="1"/>
  <c r="E26" i="3"/>
  <c r="H25" i="3"/>
  <c r="I25" i="3" s="1"/>
  <c r="E25" i="3"/>
  <c r="H24" i="3"/>
  <c r="I24" i="3" s="1"/>
  <c r="E24" i="3"/>
  <c r="E30" i="3" s="1"/>
  <c r="H14" i="3"/>
  <c r="I14" i="3" s="1"/>
  <c r="E14" i="3"/>
  <c r="H13" i="3"/>
  <c r="I13" i="3" s="1"/>
  <c r="E13" i="3"/>
  <c r="I12" i="3"/>
  <c r="H12" i="3"/>
  <c r="E12" i="3"/>
  <c r="H11" i="3"/>
  <c r="I11" i="3" s="1"/>
  <c r="E11" i="3"/>
  <c r="H10" i="3"/>
  <c r="I10" i="3" s="1"/>
  <c r="E10" i="3"/>
  <c r="H9" i="3"/>
  <c r="I9" i="3" s="1"/>
  <c r="E9" i="3"/>
  <c r="E15" i="3" s="1"/>
  <c r="D71" i="1"/>
  <c r="G70" i="1"/>
  <c r="G71" i="1"/>
  <c r="E70" i="1"/>
  <c r="E71" i="1"/>
  <c r="D70" i="1"/>
  <c r="D69" i="1"/>
  <c r="D68" i="1"/>
  <c r="D67" i="1"/>
  <c r="D66" i="1"/>
  <c r="D65" i="1"/>
  <c r="D64" i="1"/>
  <c r="G63" i="1"/>
  <c r="G64" i="1"/>
  <c r="G66" i="1"/>
  <c r="G69" i="1"/>
  <c r="E63" i="1"/>
  <c r="E64" i="1"/>
  <c r="E65" i="1"/>
  <c r="G65" i="1" s="1"/>
  <c r="E66" i="1"/>
  <c r="E67" i="1"/>
  <c r="G67" i="1" s="1"/>
  <c r="E68" i="1"/>
  <c r="G68" i="1" s="1"/>
  <c r="E69" i="1"/>
  <c r="D63" i="1"/>
  <c r="D62" i="1"/>
  <c r="E62" i="1" s="1"/>
  <c r="G62" i="1" s="1"/>
  <c r="D61" i="1"/>
  <c r="E61" i="1" s="1"/>
  <c r="G61" i="1" s="1"/>
  <c r="D60" i="1"/>
  <c r="E60" i="1" s="1"/>
  <c r="G60" i="1" s="1"/>
  <c r="G29" i="2"/>
  <c r="H29" i="2" s="1"/>
  <c r="I29" i="2" s="1"/>
  <c r="H28" i="2"/>
  <c r="I28" i="2" s="1"/>
  <c r="H27" i="2"/>
  <c r="I27" i="2" s="1"/>
  <c r="H26" i="2"/>
  <c r="H25" i="2"/>
  <c r="I25" i="2" s="1"/>
  <c r="G15" i="2"/>
  <c r="H15" i="2" s="1"/>
  <c r="I15" i="2" s="1"/>
  <c r="E29" i="2"/>
  <c r="E28" i="2"/>
  <c r="E27" i="2"/>
  <c r="I26" i="2"/>
  <c r="E26" i="2"/>
  <c r="E25" i="2"/>
  <c r="H12" i="2"/>
  <c r="I12" i="2" s="1"/>
  <c r="H13" i="2"/>
  <c r="I13" i="2" s="1"/>
  <c r="H14" i="2"/>
  <c r="I14" i="2" s="1"/>
  <c r="H11" i="2"/>
  <c r="I11" i="2" s="1"/>
  <c r="E12" i="2"/>
  <c r="E13" i="2"/>
  <c r="E14" i="2"/>
  <c r="E15" i="2"/>
  <c r="E11" i="2"/>
  <c r="I16" i="7" l="1"/>
  <c r="I18" i="5"/>
  <c r="I18" i="4"/>
  <c r="I15" i="3"/>
  <c r="I30" i="3"/>
  <c r="E16" i="2"/>
  <c r="I16" i="2"/>
  <c r="I30" i="2"/>
  <c r="D18" i="1"/>
  <c r="E18" i="1" s="1"/>
  <c r="G18" i="1" s="1"/>
  <c r="D17" i="1"/>
  <c r="E17" i="1" s="1"/>
  <c r="G17" i="1" s="1"/>
  <c r="D16" i="1"/>
  <c r="D15" i="1"/>
  <c r="E15" i="1" s="1"/>
  <c r="G15" i="1" s="1"/>
  <c r="D14" i="1"/>
  <c r="E14" i="1" s="1"/>
  <c r="G14" i="1" s="1"/>
  <c r="D13" i="1"/>
  <c r="E13" i="1" s="1"/>
  <c r="G13" i="1" s="1"/>
  <c r="D12" i="1"/>
  <c r="D11" i="1"/>
  <c r="E11" i="1" s="1"/>
  <c r="G11" i="1" s="1"/>
  <c r="D10" i="1"/>
  <c r="E10" i="1" s="1"/>
  <c r="G10" i="1" s="1"/>
  <c r="D8" i="1"/>
  <c r="E8" i="1" s="1"/>
  <c r="G8" i="1" s="1"/>
  <c r="D9" i="1"/>
  <c r="C9" i="1"/>
  <c r="E9" i="1" s="1"/>
  <c r="G9" i="1" s="1"/>
  <c r="D44" i="1"/>
  <c r="E44" i="1" s="1"/>
  <c r="G44" i="1" s="1"/>
  <c r="D45" i="1"/>
  <c r="E45" i="1" s="1"/>
  <c r="G45" i="1" s="1"/>
  <c r="E16" i="1"/>
  <c r="G16" i="1" s="1"/>
  <c r="E12" i="1"/>
  <c r="G12" i="1" s="1"/>
  <c r="D46" i="1"/>
  <c r="E46" i="1" s="1"/>
  <c r="G46" i="1" s="1"/>
  <c r="D35" i="1"/>
  <c r="E35" i="1" s="1"/>
  <c r="G35" i="1" s="1"/>
  <c r="D34" i="1"/>
  <c r="D33" i="1"/>
  <c r="E33" i="1" s="1"/>
  <c r="G33" i="1" s="1"/>
  <c r="D32" i="1"/>
  <c r="E32" i="1" s="1"/>
  <c r="G32" i="1" s="1"/>
  <c r="D31" i="1"/>
  <c r="D30" i="1"/>
  <c r="E30" i="1" s="1"/>
  <c r="G30" i="1" s="1"/>
  <c r="D29" i="1"/>
  <c r="E29" i="1" s="1"/>
  <c r="G29" i="1" s="1"/>
  <c r="D28" i="1"/>
  <c r="E28" i="1" s="1"/>
  <c r="G28" i="1" s="1"/>
  <c r="E31" i="1"/>
  <c r="G31" i="1" s="1"/>
  <c r="E34" i="1"/>
  <c r="G34" i="1" s="1"/>
  <c r="D27" i="1"/>
  <c r="E27" i="1" s="1"/>
  <c r="G27" i="1" s="1"/>
  <c r="D26" i="1"/>
  <c r="E26" i="1" s="1"/>
  <c r="G26" i="1" s="1"/>
  <c r="E24" i="1" l="1"/>
  <c r="G24" i="1" s="1"/>
</calcChain>
</file>

<file path=xl/sharedStrings.xml><?xml version="1.0" encoding="utf-8"?>
<sst xmlns="http://schemas.openxmlformats.org/spreadsheetml/2006/main" count="393" uniqueCount="127">
  <si>
    <t>Tarjetas pre impresas</t>
  </si>
  <si>
    <t>US$</t>
  </si>
  <si>
    <t>P/U US$</t>
  </si>
  <si>
    <t>Cantidad</t>
  </si>
  <si>
    <t>T/C</t>
  </si>
  <si>
    <t>P/U Soles</t>
  </si>
  <si>
    <t>rollos y hojas</t>
  </si>
  <si>
    <t>235-2017-010-034544</t>
  </si>
  <si>
    <t>235-2017-010-051202</t>
  </si>
  <si>
    <t>235-2017-010-054412</t>
  </si>
  <si>
    <t>Hologramas</t>
  </si>
  <si>
    <t>Cinta de transferencia térmica HID 84051</t>
  </si>
  <si>
    <t>Film de retrotransferencia HID 84800</t>
  </si>
  <si>
    <t>Film de retrotransferencia HID 84053</t>
  </si>
  <si>
    <t>Kit de limpieza HID 89200 - para cabezal de Fargo HDP5000</t>
  </si>
  <si>
    <t>Kit de limpieza HID 88933 - para cabezal de Fargo HDP8500</t>
  </si>
  <si>
    <t>235-2017-10-187098</t>
  </si>
  <si>
    <t>Tarjetas plásticas pre impresas para licencias de conducir</t>
  </si>
  <si>
    <t>235-2017-10-154169</t>
  </si>
  <si>
    <t>Cinta de impresión full color HID 084512 para impresora HDP5600</t>
  </si>
  <si>
    <t>Film de laminación  HID 084500 para impresora HDP5600</t>
  </si>
  <si>
    <t>Cinta de impresión full color HID 045715 para impresora DTC5500</t>
  </si>
  <si>
    <t>DUA</t>
  </si>
  <si>
    <t>Descripción</t>
  </si>
  <si>
    <t>Descrpción</t>
  </si>
  <si>
    <t>235-2016-10-178983</t>
  </si>
  <si>
    <t>Cinta de impresión Fargo HID 84811</t>
  </si>
  <si>
    <t>Cinta de impresión Fargo HID 84800</t>
  </si>
  <si>
    <t>Cinta de impresión Fargo HID 82604</t>
  </si>
  <si>
    <t>Hologramas personalizados 17,000 hojas x 64 hologramas</t>
  </si>
  <si>
    <t>Tarjeta pre impresa</t>
  </si>
  <si>
    <t>235-2018-10-063763</t>
  </si>
  <si>
    <t>Hologramas  MTC2009</t>
  </si>
  <si>
    <t>235-2018-10-066948</t>
  </si>
  <si>
    <t>235-2018-10-059369</t>
  </si>
  <si>
    <t>235-2018-10-059646</t>
  </si>
  <si>
    <t xml:space="preserve">Cinta a todo color HID </t>
  </si>
  <si>
    <t>Película transparente estándar HID 084500 para HDP5600</t>
  </si>
  <si>
    <t>Kit de limpieza HID 089200</t>
  </si>
  <si>
    <t>Tarjetas de limpieza extra HID 086131 para impresora Fargo</t>
  </si>
  <si>
    <t>Tarjetas de limpieza extra HID 086141 para impresora Fargo 8500</t>
  </si>
  <si>
    <t>Película Polyguard  sobre laminado 1,000 conteo</t>
  </si>
  <si>
    <t>Sobrelaminado HID 082604 1.0 mil rinde 250 imágenes</t>
  </si>
  <si>
    <t xml:space="preserve">Hologramas - la información no está clara </t>
  </si>
  <si>
    <t>COMPRA - IMPORTACIÓN DE INSUMOS</t>
  </si>
  <si>
    <t>GR LAMBAYEQUE Contrato 001-2017-GR.LAMB/GRTC</t>
  </si>
  <si>
    <t>ADJUDICACIÓN SIMPLIFICADA Nº001-2017-GR.LAMB/GRTC</t>
  </si>
  <si>
    <t>Suministro de insumos para la emisión de Licencias de Conducir</t>
  </si>
  <si>
    <t xml:space="preserve">Descripción </t>
  </si>
  <si>
    <t>Total</t>
  </si>
  <si>
    <t>Und. Med.</t>
  </si>
  <si>
    <t>PR Unitario</t>
  </si>
  <si>
    <t>Costo S/. Incluido IGV</t>
  </si>
  <si>
    <t>Cinta de retrotransferencia 084051</t>
  </si>
  <si>
    <t>unidad</t>
  </si>
  <si>
    <t>Cinta de retrotransferencia 084053</t>
  </si>
  <si>
    <t>Cinta de laminación Polyguard</t>
  </si>
  <si>
    <t>PU sin IGV</t>
  </si>
  <si>
    <t>|</t>
  </si>
  <si>
    <t>Costos según contrato firmado con la entidad</t>
  </si>
  <si>
    <t>Costos según importación</t>
  </si>
  <si>
    <t>235-2018-010-059646</t>
  </si>
  <si>
    <t>235-2017-010-187098</t>
  </si>
  <si>
    <t>P unitario</t>
  </si>
  <si>
    <t>GR LAMBAYEQUE Contrato 16-2016-GR.LAMB/GRTC</t>
  </si>
  <si>
    <t>ADJUDICACIÓN SIMPLIFICADA Nº001-2016-GR.LAMB/GRTC (Primera Convocatoria)</t>
  </si>
  <si>
    <t>Tarjeta CR Pre impresa MTC con holograma</t>
  </si>
  <si>
    <t>235-2017-010-187098      y          235-2018-010-066948</t>
  </si>
  <si>
    <t>GRTC AREQUIPA Contrato 002-2017-GRA/GRTC</t>
  </si>
  <si>
    <t>LICITACIÓN PÚBLICA 001-2017-GRA/GRTC</t>
  </si>
  <si>
    <t>Suministro de tarjetas preimpresas de PVC con hologramas e insumos originales para impresoras Fargo HDP 8500</t>
  </si>
  <si>
    <t>Tarjetas pre impresas MTC</t>
  </si>
  <si>
    <t>Hologramas de seguridad MTC</t>
  </si>
  <si>
    <t>Cinta de impresión para Fargo HDP 8500</t>
  </si>
  <si>
    <t>Polyguard  overlaminate</t>
  </si>
  <si>
    <t>Cinta de retrotransferencia Fargo HDP 8500</t>
  </si>
  <si>
    <t>235-2018-010-066948</t>
  </si>
  <si>
    <t>235-2017-010-154169</t>
  </si>
  <si>
    <t>GRTC AREQUIPA contrato 003-2016-GRA/GRTC</t>
  </si>
  <si>
    <t>LICITACIÓN PÚBLICA 002-2015-GRA/GRTC</t>
  </si>
  <si>
    <t>Suministro de tarjetas pre impresas con hologramas de seguridad e insumos originales para las impresoras Fargo HDP 8500 y HDP 5000</t>
  </si>
  <si>
    <t>GRTC LA LIBERTAD contrato 005-2016-GR-LL-GGR-GRTC</t>
  </si>
  <si>
    <t>LICITACIÓN PÚBLICA 001-2016-GR-LL-GGR/GRTC-CSLP</t>
  </si>
  <si>
    <t>Adquisición de insumos para impresoras fargo HDP 5000 y HDP 8500 para Licencias de Conducir</t>
  </si>
  <si>
    <t>Cinta de impresión Fargo HDP 5000</t>
  </si>
  <si>
    <t>Cinta de impresión Fargo HDP 8500</t>
  </si>
  <si>
    <t>Cinta de Retrotransferencia film</t>
  </si>
  <si>
    <t>Kit de limpieza para Fargo HDP 5000</t>
  </si>
  <si>
    <t>Tarjetas pre impresas + hologramas</t>
  </si>
  <si>
    <t>Tarjetas blancas</t>
  </si>
  <si>
    <t>235-2015-010-034119</t>
  </si>
  <si>
    <t>Kit de limpieza  Fargo HID 88933 para Fargo 8500</t>
  </si>
  <si>
    <t>Cinta de impresión Fargo HID 84051</t>
  </si>
  <si>
    <t>Cinta de impresión Fargo HID 84053</t>
  </si>
  <si>
    <t>Kit de limpieza  Fargo HID 89200 para Fargo HDP 5000</t>
  </si>
  <si>
    <t>Cinta de impresión Fargo HID 84053 para Fargo HDP 5000</t>
  </si>
  <si>
    <t>Impresora Fargo HID modelo HDP 5000</t>
  </si>
  <si>
    <t>235-2015-010-054403</t>
  </si>
  <si>
    <t>Tarjeta plástica pre impresa MTC</t>
  </si>
  <si>
    <t>235-2015-010-092725</t>
  </si>
  <si>
    <t>DRTC PIURA contrato 018-2015-GOB.REG.PIURA-DRTyC-DR</t>
  </si>
  <si>
    <t>ADJUDICACIÓN DIRECTA PÚBLICA 001-2015/GOB.REG.PIURA-DRTyC-DR-CEP</t>
  </si>
  <si>
    <t>Adquisición de suministro de insumos para la emisión de licencias de conducir</t>
  </si>
  <si>
    <t>Cinta de impresión HDP 5000</t>
  </si>
  <si>
    <t>Cinta de Retrotransferencia HDP 5000</t>
  </si>
  <si>
    <t>Cinta de Retrotransferencia HDP 8500</t>
  </si>
  <si>
    <t>Tarjetas PVC blanca</t>
  </si>
  <si>
    <t>Kit de limpieza</t>
  </si>
  <si>
    <t>235-2015-010-054403      y          235-2015-010-092725</t>
  </si>
  <si>
    <t>ADJUDICACIÓN DIRECTA SELECTIVA 001-2014-DRTC/ICA</t>
  </si>
  <si>
    <t>Concepto: PAPELERÍA EN GENERAL, UTILES Y MATERIAL DE OFICINA</t>
  </si>
  <si>
    <t>DRTC ICA Orden de Compra 0000166 (en los contratos no detalla los insumos)</t>
  </si>
  <si>
    <t>Cinta laminadora Polyguard</t>
  </si>
  <si>
    <t>Cinta de retrotransferencia HDP 8500</t>
  </si>
  <si>
    <t>DRTC TACNA contrato 001-2014-DRTyC.T/GOB.REG.TACNA</t>
  </si>
  <si>
    <t>ADJUDICACIÓN DIRECTA PÚBLICA 001-2014-DRTyC/G.R.T.</t>
  </si>
  <si>
    <t>Adquisición para la impresión de licencias de conducir</t>
  </si>
  <si>
    <t>Costos aprox. según importación</t>
  </si>
  <si>
    <r>
      <rPr>
        <b/>
        <i/>
        <sz val="11"/>
        <color rgb="FF002060"/>
        <rFont val="Calibri (Cuerpo)_x0000_"/>
      </rPr>
      <t>Costos según importació</t>
    </r>
    <r>
      <rPr>
        <sz val="11"/>
        <color theme="1"/>
        <rFont val="Calibri"/>
        <family val="2"/>
        <scheme val="minor"/>
      </rPr>
      <t>n</t>
    </r>
  </si>
  <si>
    <r>
      <rPr>
        <b/>
        <i/>
        <sz val="11"/>
        <color rgb="FF002060"/>
        <rFont val="Calibri (Cuerpo)_x0000_"/>
      </rPr>
      <t>Costos según importac</t>
    </r>
    <r>
      <rPr>
        <sz val="11"/>
        <color theme="1"/>
        <rFont val="Calibri"/>
        <family val="2"/>
        <scheme val="minor"/>
      </rPr>
      <t>ión</t>
    </r>
  </si>
  <si>
    <r>
      <rPr>
        <b/>
        <i/>
        <sz val="11"/>
        <color rgb="FF002060"/>
        <rFont val="Calibri (Cuerpo)_x0000_"/>
      </rPr>
      <t>Costos según importaci</t>
    </r>
    <r>
      <rPr>
        <sz val="11"/>
        <color theme="1"/>
        <rFont val="Calibri"/>
        <family val="2"/>
        <scheme val="minor"/>
      </rPr>
      <t>ón</t>
    </r>
  </si>
  <si>
    <t>Precio de importación 2018 SIN IGV SALMON CORP:</t>
  </si>
  <si>
    <t>Precio de importación 2017 SIN IGV SALMON CORP.</t>
  </si>
  <si>
    <t>Precio de importación 2016 SIN IGV SALMON CORP.</t>
  </si>
  <si>
    <t>Precio de importación 2015 SIN IGV SALMON CORP.</t>
  </si>
  <si>
    <t>Total US$</t>
  </si>
  <si>
    <t xml:space="preserve">Incluye nacionalización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</si>
</sst>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00"/>
    <numFmt numFmtId="165" formatCode="#,##0.000000"/>
    <numFmt numFmtId="166" formatCode="#,##0.000"/>
    <numFmt numFmtId="167" formatCode="#,##0.00000"/>
  </numFmts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1"/>
      <color rgb="FF7030A0"/>
      <name val="Calibri (Cuerpo)_x0000_"/>
    </font>
    <font>
      <b/>
      <sz val="11"/>
      <color rgb="FF7030A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color rgb="FF002060"/>
      <name val="Calibri (Cuerpo)_x0000_"/>
    </font>
    <font>
      <b/>
      <i/>
      <sz val="11"/>
      <color rgb="FF00206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4" fontId="0" fillId="0" borderId="1" xfId="0" applyNumberFormat="1" applyFill="1" applyBorder="1" applyAlignment="1">
      <alignment horizontal="center" vertical="center"/>
    </xf>
    <xf numFmtId="4" fontId="0" fillId="0" borderId="1" xfId="0" applyNumberFormat="1" applyBorder="1" applyAlignment="1">
      <alignment horizontal="center"/>
    </xf>
    <xf numFmtId="4" fontId="0" fillId="0" borderId="1" xfId="0" applyNumberFormat="1" applyFill="1" applyBorder="1" applyAlignment="1">
      <alignment horizontal="left" vertical="center"/>
    </xf>
    <xf numFmtId="166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7" fontId="0" fillId="0" borderId="1" xfId="0" applyNumberFormat="1" applyBorder="1" applyAlignment="1">
      <alignment horizontal="center"/>
    </xf>
    <xf numFmtId="3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/>
    </xf>
    <xf numFmtId="4" fontId="0" fillId="0" borderId="1" xfId="0" applyNumberFormat="1" applyFill="1" applyBorder="1" applyAlignment="1">
      <alignment horizontal="center"/>
    </xf>
    <xf numFmtId="16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166" fontId="0" fillId="0" borderId="1" xfId="0" applyNumberFormat="1" applyBorder="1" applyAlignment="1">
      <alignment horizontal="center" vertical="center"/>
    </xf>
    <xf numFmtId="0" fontId="3" fillId="0" borderId="0" xfId="0" applyFont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/>
    <xf numFmtId="3" fontId="0" fillId="0" borderId="1" xfId="0" applyNumberFormat="1" applyBorder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/>
    </xf>
    <xf numFmtId="4" fontId="0" fillId="2" borderId="1" xfId="0" applyNumberFormat="1" applyFill="1" applyBorder="1" applyAlignment="1">
      <alignment horizontal="center" vertical="center"/>
    </xf>
    <xf numFmtId="4" fontId="0" fillId="2" borderId="1" xfId="0" applyNumberFormat="1" applyFill="1" applyBorder="1" applyAlignment="1">
      <alignment horizontal="center"/>
    </xf>
    <xf numFmtId="4" fontId="5" fillId="0" borderId="1" xfId="0" applyNumberFormat="1" applyFont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4" fontId="8" fillId="0" borderId="1" xfId="0" applyNumberFormat="1" applyFont="1" applyBorder="1" applyAlignment="1">
      <alignment horizontal="center"/>
    </xf>
    <xf numFmtId="4" fontId="8" fillId="0" borderId="1" xfId="0" applyNumberFormat="1" applyFont="1" applyBorder="1" applyAlignment="1">
      <alignment horizontal="center" vertical="center"/>
    </xf>
    <xf numFmtId="4" fontId="8" fillId="2" borderId="1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5" fillId="0" borderId="0" xfId="0" applyFont="1"/>
    <xf numFmtId="4" fontId="6" fillId="0" borderId="1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4" fontId="6" fillId="0" borderId="1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/>
    </xf>
    <xf numFmtId="0" fontId="8" fillId="0" borderId="0" xfId="0" applyFont="1"/>
    <xf numFmtId="164" fontId="5" fillId="0" borderId="1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7" fontId="6" fillId="0" borderId="1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73"/>
  <sheetViews>
    <sheetView tabSelected="1" topLeftCell="B1" workbookViewId="0">
      <selection activeCell="I25" sqref="I25"/>
    </sheetView>
  </sheetViews>
  <sheetFormatPr baseColWidth="10" defaultRowHeight="15"/>
  <cols>
    <col min="1" max="1" width="22.7109375" customWidth="1"/>
    <col min="2" max="2" width="59" customWidth="1"/>
    <col min="3" max="3" width="11.7109375" bestFit="1" customWidth="1"/>
    <col min="5" max="5" width="12.42578125" bestFit="1" customWidth="1"/>
  </cols>
  <sheetData>
    <row r="2" spans="1:7" ht="18.75">
      <c r="A2" s="19" t="s">
        <v>44</v>
      </c>
    </row>
    <row r="3" spans="1:7">
      <c r="A3" t="s">
        <v>126</v>
      </c>
    </row>
    <row r="6" spans="1:7" ht="15.75">
      <c r="A6" s="54" t="s">
        <v>121</v>
      </c>
      <c r="B6" s="54"/>
      <c r="C6" s="54"/>
      <c r="D6" s="54"/>
      <c r="E6" s="54"/>
      <c r="F6" s="54"/>
      <c r="G6" s="54"/>
    </row>
    <row r="7" spans="1:7" s="17" customFormat="1">
      <c r="A7" s="16" t="s">
        <v>22</v>
      </c>
      <c r="B7" s="16" t="s">
        <v>24</v>
      </c>
      <c r="C7" s="15" t="s">
        <v>3</v>
      </c>
      <c r="D7" s="15" t="s">
        <v>125</v>
      </c>
      <c r="E7" s="15" t="s">
        <v>2</v>
      </c>
      <c r="F7" s="15" t="s">
        <v>4</v>
      </c>
      <c r="G7" s="50" t="s">
        <v>5</v>
      </c>
    </row>
    <row r="8" spans="1:7">
      <c r="A8" s="6" t="s">
        <v>34</v>
      </c>
      <c r="B8" s="7" t="s">
        <v>30</v>
      </c>
      <c r="C8" s="11">
        <v>20000</v>
      </c>
      <c r="D8" s="3">
        <f>6435+206.35+128.7+406.2</f>
        <v>7176.25</v>
      </c>
      <c r="E8" s="3">
        <f>D8/C8</f>
        <v>0.35881249999999998</v>
      </c>
      <c r="F8" s="18">
        <v>3.2389999999999999</v>
      </c>
      <c r="G8" s="45">
        <f>E8*F8</f>
        <v>1.1621936874999999</v>
      </c>
    </row>
    <row r="9" spans="1:7">
      <c r="A9" s="6" t="s">
        <v>33</v>
      </c>
      <c r="B9" s="7" t="s">
        <v>29</v>
      </c>
      <c r="C9" s="11">
        <f>17000*64</f>
        <v>1088000</v>
      </c>
      <c r="D9" s="3">
        <f>3058.98+797+44+234</f>
        <v>4133.9799999999996</v>
      </c>
      <c r="E9" s="4">
        <f>+D9/C9</f>
        <v>3.7996139705882351E-3</v>
      </c>
      <c r="F9" s="18">
        <v>3.2320000000000002</v>
      </c>
      <c r="G9" s="51">
        <f>E9*F9</f>
        <v>1.2280352352941176E-2</v>
      </c>
    </row>
    <row r="10" spans="1:7">
      <c r="A10" s="1" t="s">
        <v>31</v>
      </c>
      <c r="B10" s="7" t="s">
        <v>32</v>
      </c>
      <c r="C10" s="12">
        <v>300032</v>
      </c>
      <c r="D10" s="6">
        <f>1687.68+322.5+33.75+122.64</f>
        <v>2166.5700000000002</v>
      </c>
      <c r="E10" s="10">
        <f>D10/C10</f>
        <v>7.2211297461604101E-3</v>
      </c>
      <c r="F10" s="8">
        <v>3.2170000000000001</v>
      </c>
      <c r="G10" s="52">
        <f>E10*F10</f>
        <v>2.3230374393398041E-2</v>
      </c>
    </row>
    <row r="11" spans="1:7">
      <c r="A11" s="1" t="s">
        <v>31</v>
      </c>
      <c r="B11" s="2" t="s">
        <v>10</v>
      </c>
      <c r="C11" s="12">
        <v>500032</v>
      </c>
      <c r="D11" s="6">
        <f>2812.68+537.49+56.25+204.39</f>
        <v>3610.81</v>
      </c>
      <c r="E11" s="10">
        <f t="shared" ref="E11:E18" si="0">D11/C11</f>
        <v>7.2211578458978628E-3</v>
      </c>
      <c r="F11" s="8">
        <v>3.2170000000000001</v>
      </c>
      <c r="G11" s="52">
        <f>E11*F11</f>
        <v>2.3230464790253424E-2</v>
      </c>
    </row>
    <row r="12" spans="1:7">
      <c r="A12" s="1" t="s">
        <v>35</v>
      </c>
      <c r="B12" s="2" t="s">
        <v>36</v>
      </c>
      <c r="C12" s="12">
        <v>80</v>
      </c>
      <c r="D12" s="6">
        <f>7552.69+116.02+151.05+469.19</f>
        <v>8288.9500000000007</v>
      </c>
      <c r="E12" s="6">
        <f t="shared" si="0"/>
        <v>103.61187500000001</v>
      </c>
      <c r="F12" s="8">
        <v>3.2290000000000001</v>
      </c>
      <c r="G12" s="43">
        <f>E12*F12</f>
        <v>334.56274437500002</v>
      </c>
    </row>
    <row r="13" spans="1:7">
      <c r="A13" s="1" t="s">
        <v>35</v>
      </c>
      <c r="B13" s="2" t="s">
        <v>37</v>
      </c>
      <c r="C13" s="12">
        <v>40</v>
      </c>
      <c r="D13" s="6">
        <f>2529.71+38.86+50.59+157.15</f>
        <v>2776.3100000000004</v>
      </c>
      <c r="E13" s="6">
        <f t="shared" si="0"/>
        <v>69.407750000000007</v>
      </c>
      <c r="F13" s="8">
        <v>3.2290000000000001</v>
      </c>
      <c r="G13" s="43">
        <f t="shared" ref="G13:G18" si="1">E13*F13</f>
        <v>224.11762475000003</v>
      </c>
    </row>
    <row r="14" spans="1:7">
      <c r="A14" s="1" t="s">
        <v>35</v>
      </c>
      <c r="B14" s="2" t="s">
        <v>38</v>
      </c>
      <c r="C14" s="12">
        <v>10</v>
      </c>
      <c r="D14" s="6">
        <f>312.36+4.79+3.12</f>
        <v>320.27000000000004</v>
      </c>
      <c r="E14" s="6">
        <f t="shared" si="0"/>
        <v>32.027000000000001</v>
      </c>
      <c r="F14" s="8">
        <v>3.2290000000000001</v>
      </c>
      <c r="G14" s="43">
        <f t="shared" si="1"/>
        <v>103.41518300000001</v>
      </c>
    </row>
    <row r="15" spans="1:7">
      <c r="A15" s="1" t="s">
        <v>35</v>
      </c>
      <c r="B15" s="2" t="s">
        <v>39</v>
      </c>
      <c r="C15" s="12">
        <v>12</v>
      </c>
      <c r="D15" s="6">
        <f>312.36+4.79+3.12</f>
        <v>320.27000000000004</v>
      </c>
      <c r="E15" s="6">
        <f t="shared" si="0"/>
        <v>26.689166666666669</v>
      </c>
      <c r="F15" s="8">
        <v>3.2290000000000001</v>
      </c>
      <c r="G15" s="43">
        <f t="shared" si="1"/>
        <v>86.179319166666673</v>
      </c>
    </row>
    <row r="16" spans="1:7">
      <c r="A16" s="1" t="s">
        <v>35</v>
      </c>
      <c r="B16" s="2" t="s">
        <v>40</v>
      </c>
      <c r="C16" s="12">
        <v>4</v>
      </c>
      <c r="D16" s="6">
        <f>104.12+1.59+1.04</f>
        <v>106.75000000000001</v>
      </c>
      <c r="E16" s="6">
        <f t="shared" si="0"/>
        <v>26.687500000000004</v>
      </c>
      <c r="F16" s="8">
        <v>3.2290000000000001</v>
      </c>
      <c r="G16" s="43">
        <f t="shared" si="1"/>
        <v>86.173937500000008</v>
      </c>
    </row>
    <row r="17" spans="1:7">
      <c r="A17" s="1" t="s">
        <v>35</v>
      </c>
      <c r="B17" s="2" t="s">
        <v>41</v>
      </c>
      <c r="C17" s="12">
        <v>5</v>
      </c>
      <c r="D17" s="6">
        <f>441.5+6.78+8.83+27.43</f>
        <v>484.53999999999996</v>
      </c>
      <c r="E17" s="9">
        <f t="shared" si="0"/>
        <v>96.907999999999987</v>
      </c>
      <c r="F17" s="8">
        <v>3.2290000000000001</v>
      </c>
      <c r="G17" s="44">
        <f t="shared" si="1"/>
        <v>312.91593199999994</v>
      </c>
    </row>
    <row r="18" spans="1:7">
      <c r="A18" s="1" t="s">
        <v>35</v>
      </c>
      <c r="B18" s="2" t="s">
        <v>42</v>
      </c>
      <c r="C18" s="12">
        <v>50</v>
      </c>
      <c r="D18" s="6">
        <f>3348.35+51.43+66.96+208.01</f>
        <v>3674.75</v>
      </c>
      <c r="E18" s="6">
        <f t="shared" si="0"/>
        <v>73.495000000000005</v>
      </c>
      <c r="F18" s="8">
        <v>3.2290000000000001</v>
      </c>
      <c r="G18" s="43">
        <f t="shared" si="1"/>
        <v>237.31535500000001</v>
      </c>
    </row>
    <row r="19" spans="1:7">
      <c r="A19" s="1"/>
      <c r="B19" s="2"/>
      <c r="C19" s="12"/>
      <c r="D19" s="6"/>
      <c r="E19" s="6"/>
      <c r="F19" s="8"/>
      <c r="G19" s="43"/>
    </row>
    <row r="22" spans="1:7" ht="15.75">
      <c r="A22" s="54" t="s">
        <v>122</v>
      </c>
      <c r="B22" s="54"/>
      <c r="C22" s="54"/>
      <c r="D22" s="54"/>
      <c r="E22" s="54"/>
      <c r="F22" s="54"/>
      <c r="G22" s="54"/>
    </row>
    <row r="23" spans="1:7" s="17" customFormat="1">
      <c r="A23" s="16" t="s">
        <v>22</v>
      </c>
      <c r="B23" s="16" t="s">
        <v>23</v>
      </c>
      <c r="C23" s="15" t="s">
        <v>3</v>
      </c>
      <c r="D23" s="15" t="s">
        <v>125</v>
      </c>
      <c r="E23" s="15" t="s">
        <v>2</v>
      </c>
      <c r="F23" s="15" t="s">
        <v>4</v>
      </c>
      <c r="G23" s="15" t="s">
        <v>5</v>
      </c>
    </row>
    <row r="24" spans="1:7">
      <c r="A24" s="13" t="s">
        <v>8</v>
      </c>
      <c r="B24" s="7" t="s">
        <v>0</v>
      </c>
      <c r="C24" s="1">
        <v>45000</v>
      </c>
      <c r="D24" s="6">
        <v>14206</v>
      </c>
      <c r="E24" s="6">
        <f>D24/C24</f>
        <v>0.31568888888888891</v>
      </c>
      <c r="F24" s="8">
        <v>3.2519999999999998</v>
      </c>
      <c r="G24" s="35">
        <f>E24*F24</f>
        <v>1.0266202666666666</v>
      </c>
    </row>
    <row r="25" spans="1:7">
      <c r="A25" s="13" t="s">
        <v>7</v>
      </c>
      <c r="B25" s="7" t="s">
        <v>43</v>
      </c>
      <c r="C25" s="1" t="s">
        <v>6</v>
      </c>
      <c r="D25" s="6"/>
      <c r="E25" s="6"/>
      <c r="F25" s="8"/>
      <c r="G25" s="53"/>
    </row>
    <row r="26" spans="1:7">
      <c r="A26" s="1" t="s">
        <v>9</v>
      </c>
      <c r="B26" s="2" t="s">
        <v>11</v>
      </c>
      <c r="C26" s="1">
        <v>100</v>
      </c>
      <c r="D26" s="6">
        <f>8730.92+151.06+174.61+543.4</f>
        <v>9599.99</v>
      </c>
      <c r="E26" s="6">
        <f>D26/C26</f>
        <v>95.999899999999997</v>
      </c>
      <c r="F26" s="8">
        <v>3.2469999999999999</v>
      </c>
      <c r="G26" s="53">
        <f>E26*F26</f>
        <v>311.71167529999997</v>
      </c>
    </row>
    <row r="27" spans="1:7">
      <c r="A27" s="1" t="s">
        <v>9</v>
      </c>
      <c r="B27" s="2" t="s">
        <v>12</v>
      </c>
      <c r="C27" s="1">
        <v>150</v>
      </c>
      <c r="D27" s="6">
        <f>9518.21+168.68+190.36</f>
        <v>9877.25</v>
      </c>
      <c r="E27" s="6">
        <f t="shared" ref="E27:E35" si="2">D27/C27</f>
        <v>65.848333333333329</v>
      </c>
      <c r="F27" s="8">
        <v>3.2469999999999999</v>
      </c>
      <c r="G27" s="53">
        <f t="shared" ref="G27:G35" si="3">E27*F27</f>
        <v>213.80953833333331</v>
      </c>
    </row>
    <row r="28" spans="1:7">
      <c r="A28" s="1" t="s">
        <v>9</v>
      </c>
      <c r="B28" s="2" t="s">
        <v>13</v>
      </c>
      <c r="C28" s="1">
        <v>20</v>
      </c>
      <c r="D28" s="6">
        <f>1225.13+21.19+24.5</f>
        <v>1270.8200000000002</v>
      </c>
      <c r="E28" s="6">
        <f t="shared" si="2"/>
        <v>63.541000000000011</v>
      </c>
      <c r="F28" s="8">
        <v>3.2469999999999999</v>
      </c>
      <c r="G28" s="53">
        <f t="shared" si="3"/>
        <v>206.31762700000002</v>
      </c>
    </row>
    <row r="29" spans="1:7">
      <c r="A29" s="1" t="s">
        <v>9</v>
      </c>
      <c r="B29" s="2" t="s">
        <v>14</v>
      </c>
      <c r="C29" s="1">
        <v>10</v>
      </c>
      <c r="D29" s="6">
        <f>303.17+5.24+4.54+18.78</f>
        <v>331.73</v>
      </c>
      <c r="E29" s="6">
        <f t="shared" si="2"/>
        <v>33.173000000000002</v>
      </c>
      <c r="F29" s="8">
        <v>3.2469999999999999</v>
      </c>
      <c r="G29" s="53">
        <f t="shared" si="3"/>
        <v>107.71273100000001</v>
      </c>
    </row>
    <row r="30" spans="1:7">
      <c r="A30" s="1" t="s">
        <v>9</v>
      </c>
      <c r="B30" s="2" t="s">
        <v>15</v>
      </c>
      <c r="C30" s="1">
        <v>15</v>
      </c>
      <c r="D30" s="6">
        <f>496.75+8.59+7.45+30.77</f>
        <v>543.55999999999995</v>
      </c>
      <c r="E30" s="6">
        <f t="shared" si="2"/>
        <v>36.237333333333332</v>
      </c>
      <c r="F30" s="8">
        <v>3.2469999999999999</v>
      </c>
      <c r="G30" s="53">
        <f t="shared" si="3"/>
        <v>117.66262133333332</v>
      </c>
    </row>
    <row r="31" spans="1:7">
      <c r="A31" s="1" t="s">
        <v>9</v>
      </c>
      <c r="B31" s="2" t="s">
        <v>11</v>
      </c>
      <c r="C31" s="1">
        <v>10</v>
      </c>
      <c r="D31" s="6">
        <f>901.89+15.6+18.03+56.13</f>
        <v>991.65</v>
      </c>
      <c r="E31" s="6">
        <f t="shared" si="2"/>
        <v>99.164999999999992</v>
      </c>
      <c r="F31" s="8">
        <v>3.2469999999999999</v>
      </c>
      <c r="G31" s="53">
        <f t="shared" si="3"/>
        <v>321.98875499999997</v>
      </c>
    </row>
    <row r="32" spans="1:7">
      <c r="A32" s="1" t="s">
        <v>16</v>
      </c>
      <c r="B32" s="2" t="s">
        <v>17</v>
      </c>
      <c r="C32" s="1">
        <v>10000</v>
      </c>
      <c r="D32" s="6">
        <f>3355+152.7+67.1</f>
        <v>3574.7999999999997</v>
      </c>
      <c r="E32" s="6">
        <f t="shared" si="2"/>
        <v>0.35747999999999996</v>
      </c>
      <c r="F32" s="8">
        <v>3.238</v>
      </c>
      <c r="G32" s="53">
        <f t="shared" si="3"/>
        <v>1.15752024</v>
      </c>
    </row>
    <row r="33" spans="1:7">
      <c r="A33" s="1" t="s">
        <v>18</v>
      </c>
      <c r="B33" s="2" t="s">
        <v>19</v>
      </c>
      <c r="C33" s="1">
        <v>20</v>
      </c>
      <c r="D33" s="6">
        <f>2264.19+31.46+45.28+140.46</f>
        <v>2481.3900000000003</v>
      </c>
      <c r="E33" s="6">
        <f t="shared" si="2"/>
        <v>124.06950000000002</v>
      </c>
      <c r="F33" s="8">
        <v>3.2679999999999998</v>
      </c>
      <c r="G33" s="53">
        <f t="shared" si="3"/>
        <v>405.45912600000003</v>
      </c>
    </row>
    <row r="34" spans="1:7">
      <c r="A34" s="1" t="s">
        <v>18</v>
      </c>
      <c r="B34" s="2" t="s">
        <v>20</v>
      </c>
      <c r="C34" s="1">
        <v>20</v>
      </c>
      <c r="D34" s="6">
        <f>1267.99+17.62+25.36+78.66</f>
        <v>1389.6299999999999</v>
      </c>
      <c r="E34" s="6">
        <f t="shared" si="2"/>
        <v>69.481499999999997</v>
      </c>
      <c r="F34" s="8">
        <v>3.2679999999999998</v>
      </c>
      <c r="G34" s="53">
        <f t="shared" si="3"/>
        <v>227.06554199999997</v>
      </c>
    </row>
    <row r="35" spans="1:7">
      <c r="A35" s="1" t="s">
        <v>18</v>
      </c>
      <c r="B35" s="2" t="s">
        <v>21</v>
      </c>
      <c r="C35" s="1">
        <v>20</v>
      </c>
      <c r="D35" s="6">
        <f>1992.41+27.68+39.84+123.6</f>
        <v>2183.5300000000002</v>
      </c>
      <c r="E35" s="6">
        <f t="shared" si="2"/>
        <v>109.1765</v>
      </c>
      <c r="F35" s="8">
        <v>3.2679999999999998</v>
      </c>
      <c r="G35" s="53">
        <f t="shared" si="3"/>
        <v>356.78880199999998</v>
      </c>
    </row>
    <row r="36" spans="1:7">
      <c r="A36" s="1"/>
      <c r="B36" s="2"/>
      <c r="C36" s="1"/>
      <c r="D36" s="6"/>
      <c r="E36" s="6"/>
      <c r="F36" s="8"/>
      <c r="G36" s="6"/>
    </row>
    <row r="37" spans="1:7">
      <c r="A37" s="2"/>
      <c r="B37" s="2"/>
      <c r="C37" s="1"/>
      <c r="D37" s="6"/>
      <c r="E37" s="6"/>
      <c r="F37" s="8"/>
      <c r="G37" s="6"/>
    </row>
    <row r="38" spans="1:7">
      <c r="A38" s="2"/>
      <c r="B38" s="2"/>
      <c r="C38" s="1"/>
      <c r="D38" s="6"/>
      <c r="E38" s="6"/>
      <c r="F38" s="8"/>
      <c r="G38" s="6"/>
    </row>
    <row r="39" spans="1:7">
      <c r="A39" s="2"/>
      <c r="B39" s="2"/>
      <c r="C39" s="1"/>
      <c r="D39" s="6"/>
      <c r="E39" s="6"/>
      <c r="F39" s="6"/>
      <c r="G39" s="6"/>
    </row>
    <row r="42" spans="1:7" ht="15.75">
      <c r="A42" s="54" t="s">
        <v>123</v>
      </c>
      <c r="B42" s="54"/>
      <c r="C42" s="54"/>
      <c r="D42" s="54"/>
      <c r="E42" s="54"/>
      <c r="F42" s="54"/>
      <c r="G42" s="54"/>
    </row>
    <row r="43" spans="1:7" s="17" customFormat="1">
      <c r="A43" s="16" t="s">
        <v>22</v>
      </c>
      <c r="B43" s="16" t="s">
        <v>24</v>
      </c>
      <c r="C43" s="15" t="s">
        <v>3</v>
      </c>
      <c r="D43" s="15" t="s">
        <v>1</v>
      </c>
      <c r="E43" s="15" t="s">
        <v>2</v>
      </c>
      <c r="F43" s="15" t="s">
        <v>4</v>
      </c>
      <c r="G43" s="15" t="s">
        <v>5</v>
      </c>
    </row>
    <row r="44" spans="1:7">
      <c r="A44" s="5" t="s">
        <v>25</v>
      </c>
      <c r="B44" s="7" t="s">
        <v>26</v>
      </c>
      <c r="C44" s="1">
        <v>46</v>
      </c>
      <c r="D44" s="6">
        <f>3856.93+56.52+77.13+239.44</f>
        <v>4230.0199999999995</v>
      </c>
      <c r="E44" s="6">
        <f>D44/C44</f>
        <v>91.956956521739116</v>
      </c>
      <c r="F44" s="8">
        <v>3.4159999999999999</v>
      </c>
      <c r="G44" s="6">
        <f>E44*F44</f>
        <v>314.12496347826084</v>
      </c>
    </row>
    <row r="45" spans="1:7">
      <c r="A45" s="5" t="s">
        <v>25</v>
      </c>
      <c r="B45" s="7" t="s">
        <v>27</v>
      </c>
      <c r="C45" s="1">
        <v>23</v>
      </c>
      <c r="D45" s="6">
        <f>1458.86+21.38+29.17+90.57</f>
        <v>1599.98</v>
      </c>
      <c r="E45" s="6">
        <f t="shared" ref="E45:E46" si="4">D45/C45</f>
        <v>69.564347826086959</v>
      </c>
      <c r="F45" s="8">
        <v>3.4159999999999999</v>
      </c>
      <c r="G45" s="6">
        <f t="shared" ref="G45:G46" si="5">E45*F45</f>
        <v>237.63181217391303</v>
      </c>
    </row>
    <row r="46" spans="1:7">
      <c r="A46" s="5" t="s">
        <v>25</v>
      </c>
      <c r="B46" s="7" t="s">
        <v>28</v>
      </c>
      <c r="C46" s="1">
        <v>25</v>
      </c>
      <c r="D46" s="6">
        <f>1780.01+26.08+35.6+110.5</f>
        <v>1952.1899999999998</v>
      </c>
      <c r="E46" s="6">
        <f t="shared" si="4"/>
        <v>78.087599999999995</v>
      </c>
      <c r="F46" s="8">
        <v>3.4159999999999999</v>
      </c>
      <c r="G46" s="6">
        <f t="shared" si="5"/>
        <v>266.7472416</v>
      </c>
    </row>
    <row r="47" spans="1:7">
      <c r="A47" s="2"/>
      <c r="B47" s="2"/>
      <c r="C47" s="1"/>
      <c r="D47" s="6"/>
      <c r="E47" s="6"/>
      <c r="F47" s="8"/>
      <c r="G47" s="6"/>
    </row>
    <row r="48" spans="1:7">
      <c r="A48" s="2"/>
      <c r="B48" s="2"/>
      <c r="C48" s="1"/>
      <c r="D48" s="6"/>
      <c r="E48" s="6"/>
      <c r="F48" s="6"/>
      <c r="G48" s="6"/>
    </row>
    <row r="49" spans="1:7">
      <c r="A49" s="2"/>
      <c r="B49" s="2"/>
      <c r="C49" s="1"/>
      <c r="D49" s="6"/>
      <c r="E49" s="6"/>
      <c r="F49" s="6"/>
      <c r="G49" s="6"/>
    </row>
    <row r="50" spans="1:7">
      <c r="A50" s="2"/>
      <c r="B50" s="2"/>
      <c r="C50" s="1"/>
      <c r="D50" s="6"/>
      <c r="E50" s="6"/>
      <c r="F50" s="6"/>
      <c r="G50" s="6"/>
    </row>
    <row r="51" spans="1:7">
      <c r="A51" s="2"/>
      <c r="B51" s="2"/>
      <c r="C51" s="1"/>
      <c r="D51" s="6"/>
      <c r="E51" s="6"/>
      <c r="F51" s="6"/>
      <c r="G51" s="6"/>
    </row>
    <row r="52" spans="1:7">
      <c r="A52" s="2"/>
      <c r="B52" s="2"/>
      <c r="C52" s="1"/>
      <c r="D52" s="6"/>
      <c r="E52" s="6"/>
      <c r="F52" s="6"/>
      <c r="G52" s="6"/>
    </row>
    <row r="53" spans="1:7">
      <c r="A53" s="2"/>
      <c r="B53" s="2"/>
      <c r="C53" s="1"/>
      <c r="D53" s="6"/>
      <c r="E53" s="6"/>
      <c r="F53" s="6"/>
      <c r="G53" s="6"/>
    </row>
    <row r="54" spans="1:7">
      <c r="A54" s="2"/>
      <c r="B54" s="2"/>
      <c r="C54" s="1"/>
      <c r="D54" s="6" t="s">
        <v>58</v>
      </c>
      <c r="E54" s="6"/>
      <c r="F54" s="6"/>
      <c r="G54" s="6"/>
    </row>
    <row r="55" spans="1:7">
      <c r="A55" s="2"/>
      <c r="B55" s="2"/>
      <c r="C55" s="1"/>
      <c r="D55" s="6"/>
      <c r="E55" s="6"/>
      <c r="F55" s="6"/>
      <c r="G55" s="6"/>
    </row>
    <row r="58" spans="1:7" ht="15.75">
      <c r="A58" s="54" t="s">
        <v>124</v>
      </c>
      <c r="B58" s="54"/>
      <c r="C58" s="54"/>
      <c r="D58" s="54"/>
      <c r="E58" s="54"/>
      <c r="F58" s="54"/>
      <c r="G58" s="54"/>
    </row>
    <row r="59" spans="1:7">
      <c r="A59" s="16" t="s">
        <v>22</v>
      </c>
      <c r="B59" s="16" t="s">
        <v>24</v>
      </c>
      <c r="C59" s="15" t="s">
        <v>3</v>
      </c>
      <c r="D59" s="15" t="s">
        <v>1</v>
      </c>
      <c r="E59" s="15" t="s">
        <v>2</v>
      </c>
      <c r="F59" s="15" t="s">
        <v>4</v>
      </c>
      <c r="G59" s="15" t="s">
        <v>5</v>
      </c>
    </row>
    <row r="60" spans="1:7">
      <c r="A60" s="5" t="s">
        <v>90</v>
      </c>
      <c r="B60" s="7" t="s">
        <v>26</v>
      </c>
      <c r="C60" s="12">
        <v>505</v>
      </c>
      <c r="D60" s="6">
        <f>42223.05+644.23+844.46+2622.7</f>
        <v>46334.44</v>
      </c>
      <c r="E60" s="6">
        <f>D60/C60</f>
        <v>91.751366336633666</v>
      </c>
      <c r="F60" s="8">
        <v>3.0939999999999999</v>
      </c>
      <c r="G60" s="6">
        <f>E60*F60</f>
        <v>283.87872744554454</v>
      </c>
    </row>
    <row r="61" spans="1:7">
      <c r="A61" s="5" t="s">
        <v>90</v>
      </c>
      <c r="B61" s="7" t="s">
        <v>27</v>
      </c>
      <c r="C61" s="12">
        <v>200</v>
      </c>
      <c r="D61" s="6">
        <f>11600+176.99+232+720.54</f>
        <v>12729.529999999999</v>
      </c>
      <c r="E61" s="6">
        <f t="shared" ref="E61:E71" si="6">D61/C61</f>
        <v>63.647649999999992</v>
      </c>
      <c r="F61" s="8">
        <v>3.0939999999999999</v>
      </c>
      <c r="G61" s="6">
        <f t="shared" ref="G61:G71" si="7">E61*F61</f>
        <v>196.92582909999996</v>
      </c>
    </row>
    <row r="62" spans="1:7">
      <c r="A62" s="5" t="s">
        <v>90</v>
      </c>
      <c r="B62" s="7" t="s">
        <v>91</v>
      </c>
      <c r="C62" s="12">
        <v>40</v>
      </c>
      <c r="D62" s="6">
        <f>896+13.67+8.96</f>
        <v>918.63</v>
      </c>
      <c r="E62" s="6">
        <f t="shared" si="6"/>
        <v>22.96575</v>
      </c>
      <c r="F62" s="8">
        <v>3.0939999999999999</v>
      </c>
      <c r="G62" s="6">
        <f t="shared" si="7"/>
        <v>71.056030499999991</v>
      </c>
    </row>
    <row r="63" spans="1:7">
      <c r="A63" s="5" t="s">
        <v>90</v>
      </c>
      <c r="B63" s="7" t="s">
        <v>92</v>
      </c>
      <c r="C63" s="12">
        <v>72</v>
      </c>
      <c r="D63" s="6">
        <f>6192+94.47+123.84+384.62</f>
        <v>6794.93</v>
      </c>
      <c r="E63" s="6">
        <f t="shared" si="6"/>
        <v>94.374027777777783</v>
      </c>
      <c r="F63" s="8">
        <v>3.0939999999999999</v>
      </c>
      <c r="G63" s="6">
        <f t="shared" si="7"/>
        <v>291.99324194444443</v>
      </c>
    </row>
    <row r="64" spans="1:7">
      <c r="A64" s="5" t="s">
        <v>90</v>
      </c>
      <c r="B64" s="7" t="s">
        <v>93</v>
      </c>
      <c r="C64" s="12">
        <v>11</v>
      </c>
      <c r="D64" s="6">
        <f>659.45+10.06+13.18+40.96</f>
        <v>723.65</v>
      </c>
      <c r="E64" s="6">
        <f t="shared" si="6"/>
        <v>65.786363636363632</v>
      </c>
      <c r="F64" s="8">
        <v>3.0939999999999999</v>
      </c>
      <c r="G64" s="6">
        <f t="shared" si="7"/>
        <v>203.54300909090907</v>
      </c>
    </row>
    <row r="65" spans="1:7">
      <c r="A65" s="5" t="s">
        <v>90</v>
      </c>
      <c r="B65" s="7" t="s">
        <v>94</v>
      </c>
      <c r="C65" s="12">
        <v>13</v>
      </c>
      <c r="D65" s="6">
        <f>285.48+4.35+2.85</f>
        <v>292.68000000000006</v>
      </c>
      <c r="E65" s="6">
        <f t="shared" si="6"/>
        <v>22.51384615384616</v>
      </c>
      <c r="F65" s="8">
        <v>3.0939999999999999</v>
      </c>
      <c r="G65" s="6">
        <f t="shared" si="7"/>
        <v>69.657840000000022</v>
      </c>
    </row>
    <row r="66" spans="1:7">
      <c r="A66" s="5" t="s">
        <v>90</v>
      </c>
      <c r="B66" s="7" t="s">
        <v>92</v>
      </c>
      <c r="C66" s="12">
        <v>258</v>
      </c>
      <c r="D66" s="6">
        <f>22188+338.54+443.76+1378.22</f>
        <v>24348.52</v>
      </c>
      <c r="E66" s="6">
        <f t="shared" si="6"/>
        <v>94.374108527131781</v>
      </c>
      <c r="F66" s="8">
        <v>3.0939999999999999</v>
      </c>
      <c r="G66" s="6">
        <f t="shared" si="7"/>
        <v>291.99349178294574</v>
      </c>
    </row>
    <row r="67" spans="1:7">
      <c r="A67" s="5" t="s">
        <v>90</v>
      </c>
      <c r="B67" s="7" t="s">
        <v>95</v>
      </c>
      <c r="C67" s="12">
        <v>139</v>
      </c>
      <c r="D67" s="6">
        <f>8333.05+127.14+166.66+517.61</f>
        <v>9144.4599999999991</v>
      </c>
      <c r="E67" s="6">
        <f t="shared" si="6"/>
        <v>65.787482014388488</v>
      </c>
      <c r="F67" s="8">
        <v>3.0939999999999999</v>
      </c>
      <c r="G67" s="6">
        <f t="shared" si="7"/>
        <v>203.54646935251796</v>
      </c>
    </row>
    <row r="68" spans="1:7">
      <c r="A68" s="5" t="s">
        <v>90</v>
      </c>
      <c r="B68" s="7" t="s">
        <v>94</v>
      </c>
      <c r="C68" s="12">
        <v>27</v>
      </c>
      <c r="D68" s="6">
        <f>592.92+9.04+5.92</f>
        <v>607.87999999999988</v>
      </c>
      <c r="E68" s="6">
        <f t="shared" si="6"/>
        <v>22.51407407407407</v>
      </c>
      <c r="F68" s="8">
        <v>3.0939999999999999</v>
      </c>
      <c r="G68" s="6">
        <f t="shared" si="7"/>
        <v>69.658545185185176</v>
      </c>
    </row>
    <row r="69" spans="1:7">
      <c r="A69" s="5" t="s">
        <v>90</v>
      </c>
      <c r="B69" s="2" t="s">
        <v>96</v>
      </c>
      <c r="C69" s="12">
        <v>1</v>
      </c>
      <c r="D69" s="6">
        <f>3820+51.41+38.2</f>
        <v>3909.6099999999997</v>
      </c>
      <c r="E69" s="6">
        <f t="shared" si="6"/>
        <v>3909.6099999999997</v>
      </c>
      <c r="F69" s="8">
        <v>3.0939999999999999</v>
      </c>
      <c r="G69" s="6">
        <f t="shared" si="7"/>
        <v>12096.333339999999</v>
      </c>
    </row>
    <row r="70" spans="1:7">
      <c r="A70" s="5" t="s">
        <v>97</v>
      </c>
      <c r="B70" s="2" t="s">
        <v>98</v>
      </c>
      <c r="C70" s="12">
        <v>110000</v>
      </c>
      <c r="D70" s="6">
        <f>30290+1203.6+605.8</f>
        <v>32099.399999999998</v>
      </c>
      <c r="E70" s="9">
        <f t="shared" si="6"/>
        <v>0.29181272727272728</v>
      </c>
      <c r="F70" s="8">
        <v>3.1230000000000002</v>
      </c>
      <c r="G70" s="9">
        <f t="shared" si="7"/>
        <v>0.91133114727272735</v>
      </c>
    </row>
    <row r="71" spans="1:7">
      <c r="A71" s="5" t="s">
        <v>99</v>
      </c>
      <c r="B71" s="2" t="s">
        <v>10</v>
      </c>
      <c r="C71" s="12">
        <v>500000</v>
      </c>
      <c r="D71" s="6">
        <f>5700+735+115+393</f>
        <v>6943</v>
      </c>
      <c r="E71" s="9">
        <f t="shared" si="6"/>
        <v>1.3886000000000001E-2</v>
      </c>
      <c r="F71" s="8">
        <v>3.1619999999999999</v>
      </c>
      <c r="G71" s="9">
        <f t="shared" si="7"/>
        <v>4.3907531999999999E-2</v>
      </c>
    </row>
    <row r="72" spans="1:7">
      <c r="A72" s="2"/>
      <c r="B72" s="2"/>
      <c r="C72" s="12"/>
      <c r="D72" s="6"/>
      <c r="E72" s="6"/>
      <c r="F72" s="8"/>
      <c r="G72" s="6"/>
    </row>
    <row r="73" spans="1:7">
      <c r="A73" s="2"/>
      <c r="B73" s="2"/>
      <c r="C73" s="12"/>
      <c r="D73" s="6"/>
      <c r="E73" s="6"/>
      <c r="F73" s="6"/>
      <c r="G73" s="6"/>
    </row>
  </sheetData>
  <mergeCells count="4">
    <mergeCell ref="A22:G22"/>
    <mergeCell ref="A42:G42"/>
    <mergeCell ref="A6:G6"/>
    <mergeCell ref="A58:G58"/>
  </mergeCells>
  <pageMargins left="0.31496062992125984" right="0.31496062992125984" top="0.55118110236220474" bottom="0.5511811023622047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I30"/>
  <sheetViews>
    <sheetView topLeftCell="A12" zoomScale="142" zoomScaleNormal="142" workbookViewId="0">
      <selection activeCell="D12" sqref="D12"/>
    </sheetView>
  </sheetViews>
  <sheetFormatPr baseColWidth="10" defaultRowHeight="15"/>
  <cols>
    <col min="2" max="2" width="38.42578125" customWidth="1"/>
    <col min="3" max="3" width="14.7109375" customWidth="1"/>
    <col min="4" max="4" width="15.42578125" customWidth="1"/>
    <col min="5" max="5" width="14.140625" customWidth="1"/>
    <col min="6" max="6" width="26.7109375" customWidth="1"/>
    <col min="9" max="9" width="12.42578125" customWidth="1"/>
  </cols>
  <sheetData>
    <row r="5" spans="1:9" s="27" customFormat="1">
      <c r="A5" s="60" t="s">
        <v>45</v>
      </c>
      <c r="B5" s="60"/>
      <c r="C5" s="60"/>
      <c r="D5" s="60"/>
      <c r="E5" s="60"/>
      <c r="F5" s="60"/>
      <c r="G5" s="60"/>
      <c r="H5" s="60"/>
      <c r="I5" s="60"/>
    </row>
    <row r="6" spans="1:9" s="27" customFormat="1">
      <c r="A6" s="60" t="s">
        <v>46</v>
      </c>
      <c r="B6" s="60"/>
      <c r="C6" s="60"/>
      <c r="D6" s="60"/>
      <c r="E6" s="60"/>
      <c r="F6" s="60"/>
      <c r="G6" s="60"/>
      <c r="H6" s="60"/>
      <c r="I6" s="60"/>
    </row>
    <row r="7" spans="1:9" s="27" customFormat="1">
      <c r="A7" s="60" t="s">
        <v>47</v>
      </c>
      <c r="B7" s="60"/>
      <c r="C7" s="60"/>
      <c r="D7" s="60"/>
      <c r="E7" s="60"/>
      <c r="F7" s="60"/>
      <c r="G7" s="60"/>
      <c r="H7" s="60"/>
      <c r="I7" s="60"/>
    </row>
    <row r="8" spans="1:9">
      <c r="A8" s="64" t="s">
        <v>59</v>
      </c>
      <c r="B8" s="55"/>
      <c r="C8" s="55"/>
      <c r="D8" s="55"/>
      <c r="E8" s="55"/>
      <c r="F8" s="61" t="s">
        <v>117</v>
      </c>
      <c r="G8" s="55"/>
      <c r="H8" s="55"/>
      <c r="I8" s="55"/>
    </row>
    <row r="9" spans="1:9">
      <c r="A9" s="56" t="s">
        <v>3</v>
      </c>
      <c r="B9" s="56" t="s">
        <v>48</v>
      </c>
      <c r="C9" s="56" t="s">
        <v>50</v>
      </c>
      <c r="D9" s="58" t="s">
        <v>52</v>
      </c>
      <c r="E9" s="59"/>
      <c r="F9" s="56" t="s">
        <v>22</v>
      </c>
      <c r="G9" s="56" t="s">
        <v>57</v>
      </c>
      <c r="H9" s="62" t="s">
        <v>52</v>
      </c>
      <c r="I9" s="63"/>
    </row>
    <row r="10" spans="1:9">
      <c r="A10" s="57"/>
      <c r="B10" s="57"/>
      <c r="C10" s="57"/>
      <c r="D10" s="21" t="s">
        <v>51</v>
      </c>
      <c r="E10" s="21" t="s">
        <v>49</v>
      </c>
      <c r="F10" s="57"/>
      <c r="G10" s="57"/>
      <c r="H10" s="36" t="s">
        <v>63</v>
      </c>
      <c r="I10" s="36" t="s">
        <v>49</v>
      </c>
    </row>
    <row r="11" spans="1:9">
      <c r="A11" s="21">
        <v>114</v>
      </c>
      <c r="B11" s="2" t="s">
        <v>53</v>
      </c>
      <c r="C11" s="21" t="s">
        <v>54</v>
      </c>
      <c r="D11" s="33">
        <v>755</v>
      </c>
      <c r="E11" s="33">
        <f>D11*A11</f>
        <v>86070</v>
      </c>
      <c r="F11" s="1" t="s">
        <v>9</v>
      </c>
      <c r="G11" s="1">
        <v>311.70999999999998</v>
      </c>
      <c r="H11" s="37">
        <f>G11*1.18</f>
        <v>367.81779999999998</v>
      </c>
      <c r="I11" s="37">
        <f>H11*A11</f>
        <v>41931.229199999994</v>
      </c>
    </row>
    <row r="12" spans="1:9">
      <c r="A12" s="21">
        <v>39</v>
      </c>
      <c r="B12" s="2" t="s">
        <v>55</v>
      </c>
      <c r="C12" s="21" t="s">
        <v>54</v>
      </c>
      <c r="D12" s="33">
        <v>510</v>
      </c>
      <c r="E12" s="33">
        <f t="shared" ref="E12:E15" si="0">D12*A12</f>
        <v>19890</v>
      </c>
      <c r="F12" s="1" t="s">
        <v>9</v>
      </c>
      <c r="G12" s="1">
        <v>206.32</v>
      </c>
      <c r="H12" s="37">
        <f t="shared" ref="H12:H15" si="1">G12*1.18</f>
        <v>243.45759999999999</v>
      </c>
      <c r="I12" s="37">
        <f t="shared" ref="I12:I15" si="2">H12*A12</f>
        <v>9494.8463999999985</v>
      </c>
    </row>
    <row r="13" spans="1:9">
      <c r="A13" s="21">
        <v>112</v>
      </c>
      <c r="B13" s="2" t="s">
        <v>56</v>
      </c>
      <c r="C13" s="21" t="s">
        <v>54</v>
      </c>
      <c r="D13" s="33">
        <v>645</v>
      </c>
      <c r="E13" s="33">
        <f t="shared" si="0"/>
        <v>72240</v>
      </c>
      <c r="F13" s="1" t="s">
        <v>61</v>
      </c>
      <c r="G13" s="1">
        <v>312.92</v>
      </c>
      <c r="H13" s="37">
        <f t="shared" si="1"/>
        <v>369.24560000000002</v>
      </c>
      <c r="I13" s="37">
        <f t="shared" si="2"/>
        <v>41355.5072</v>
      </c>
    </row>
    <row r="14" spans="1:9">
      <c r="A14" s="21">
        <v>112</v>
      </c>
      <c r="B14" s="2" t="s">
        <v>56</v>
      </c>
      <c r="C14" s="21" t="s">
        <v>54</v>
      </c>
      <c r="D14" s="33">
        <v>645</v>
      </c>
      <c r="E14" s="33">
        <f t="shared" si="0"/>
        <v>72240</v>
      </c>
      <c r="F14" s="1" t="s">
        <v>61</v>
      </c>
      <c r="G14" s="1">
        <v>312.92</v>
      </c>
      <c r="H14" s="37">
        <f t="shared" si="1"/>
        <v>369.24560000000002</v>
      </c>
      <c r="I14" s="37">
        <f t="shared" si="2"/>
        <v>41355.5072</v>
      </c>
    </row>
    <row r="15" spans="1:9" s="25" customFormat="1" ht="30">
      <c r="A15" s="21">
        <v>28000</v>
      </c>
      <c r="B15" s="20" t="s">
        <v>66</v>
      </c>
      <c r="C15" s="21" t="s">
        <v>54</v>
      </c>
      <c r="D15" s="33">
        <v>2.4</v>
      </c>
      <c r="E15" s="33">
        <f t="shared" si="0"/>
        <v>67200</v>
      </c>
      <c r="F15" s="24" t="s">
        <v>67</v>
      </c>
      <c r="G15" s="21">
        <f>1.16+0.0123</f>
        <v>1.1722999999999999</v>
      </c>
      <c r="H15" s="38">
        <f t="shared" si="1"/>
        <v>1.3833139999999997</v>
      </c>
      <c r="I15" s="38">
        <f t="shared" si="2"/>
        <v>38732.791999999994</v>
      </c>
    </row>
    <row r="16" spans="1:9">
      <c r="A16" s="2"/>
      <c r="B16" s="2"/>
      <c r="C16" s="21"/>
      <c r="D16" s="33"/>
      <c r="E16" s="34">
        <f>SUM(E11:E15)</f>
        <v>317640</v>
      </c>
      <c r="F16" s="1"/>
      <c r="G16" s="1"/>
      <c r="H16" s="36"/>
      <c r="I16" s="39">
        <f>SUM(I11:I15)</f>
        <v>172869.88199999998</v>
      </c>
    </row>
    <row r="19" spans="1:9" s="27" customFormat="1">
      <c r="A19" s="60" t="s">
        <v>64</v>
      </c>
      <c r="B19" s="60"/>
      <c r="C19" s="60"/>
      <c r="D19" s="60"/>
      <c r="E19" s="60"/>
      <c r="F19" s="60"/>
      <c r="G19" s="60"/>
      <c r="H19" s="60"/>
      <c r="I19" s="60"/>
    </row>
    <row r="20" spans="1:9" s="27" customFormat="1">
      <c r="A20" s="60" t="s">
        <v>65</v>
      </c>
      <c r="B20" s="60"/>
      <c r="C20" s="60"/>
      <c r="D20" s="60"/>
      <c r="E20" s="60"/>
      <c r="F20" s="60"/>
      <c r="G20" s="60"/>
      <c r="H20" s="60"/>
      <c r="I20" s="60"/>
    </row>
    <row r="21" spans="1:9" s="27" customFormat="1">
      <c r="A21" s="60" t="s">
        <v>47</v>
      </c>
      <c r="B21" s="60"/>
      <c r="C21" s="60"/>
      <c r="D21" s="60"/>
      <c r="E21" s="60"/>
      <c r="F21" s="60"/>
      <c r="G21" s="60"/>
      <c r="H21" s="60"/>
      <c r="I21" s="60"/>
    </row>
    <row r="22" spans="1:9">
      <c r="A22" s="55" t="s">
        <v>59</v>
      </c>
      <c r="B22" s="55"/>
      <c r="C22" s="55"/>
      <c r="D22" s="55"/>
      <c r="E22" s="55"/>
      <c r="F22" s="55" t="s">
        <v>60</v>
      </c>
      <c r="G22" s="55"/>
      <c r="H22" s="55"/>
      <c r="I22" s="55"/>
    </row>
    <row r="23" spans="1:9">
      <c r="A23" s="56" t="s">
        <v>3</v>
      </c>
      <c r="B23" s="56" t="s">
        <v>48</v>
      </c>
      <c r="C23" s="56" t="s">
        <v>50</v>
      </c>
      <c r="D23" s="58" t="s">
        <v>52</v>
      </c>
      <c r="E23" s="59"/>
      <c r="F23" s="56" t="s">
        <v>22</v>
      </c>
      <c r="G23" s="56" t="s">
        <v>57</v>
      </c>
      <c r="H23" s="58" t="s">
        <v>52</v>
      </c>
      <c r="I23" s="59"/>
    </row>
    <row r="24" spans="1:9">
      <c r="A24" s="57"/>
      <c r="B24" s="57"/>
      <c r="C24" s="57"/>
      <c r="D24" s="21" t="s">
        <v>51</v>
      </c>
      <c r="E24" s="21" t="s">
        <v>49</v>
      </c>
      <c r="F24" s="57"/>
      <c r="G24" s="57"/>
      <c r="H24" s="1" t="s">
        <v>63</v>
      </c>
      <c r="I24" s="1" t="s">
        <v>49</v>
      </c>
    </row>
    <row r="25" spans="1:9">
      <c r="A25" s="21">
        <v>114</v>
      </c>
      <c r="B25" s="2" t="s">
        <v>53</v>
      </c>
      <c r="C25" s="21" t="s">
        <v>54</v>
      </c>
      <c r="D25" s="3">
        <v>745</v>
      </c>
      <c r="E25" s="3">
        <f>D25*A25</f>
        <v>84930</v>
      </c>
      <c r="F25" s="1" t="s">
        <v>9</v>
      </c>
      <c r="G25" s="1">
        <v>311.70999999999998</v>
      </c>
      <c r="H25" s="6">
        <f>G25*1.18</f>
        <v>367.81779999999998</v>
      </c>
      <c r="I25" s="6">
        <f>H25*A25</f>
        <v>41931.229199999994</v>
      </c>
    </row>
    <row r="26" spans="1:9">
      <c r="A26" s="21">
        <v>39</v>
      </c>
      <c r="B26" s="2" t="s">
        <v>55</v>
      </c>
      <c r="C26" s="21" t="s">
        <v>54</v>
      </c>
      <c r="D26" s="3">
        <v>495</v>
      </c>
      <c r="E26" s="3">
        <f t="shared" ref="E26:E29" si="3">D26*A26</f>
        <v>19305</v>
      </c>
      <c r="F26" s="1" t="s">
        <v>9</v>
      </c>
      <c r="G26" s="1">
        <v>206.32</v>
      </c>
      <c r="H26" s="6">
        <f t="shared" ref="H26:H29" si="4">G26*1.18</f>
        <v>243.45759999999999</v>
      </c>
      <c r="I26" s="6">
        <f t="shared" ref="I26:I29" si="5">H26*A26</f>
        <v>9494.8463999999985</v>
      </c>
    </row>
    <row r="27" spans="1:9">
      <c r="A27" s="21">
        <v>112</v>
      </c>
      <c r="B27" s="2" t="s">
        <v>56</v>
      </c>
      <c r="C27" s="21" t="s">
        <v>54</v>
      </c>
      <c r="D27" s="3">
        <v>630</v>
      </c>
      <c r="E27" s="3">
        <f t="shared" si="3"/>
        <v>70560</v>
      </c>
      <c r="F27" s="1" t="s">
        <v>61</v>
      </c>
      <c r="G27" s="1">
        <v>312.92</v>
      </c>
      <c r="H27" s="6">
        <f t="shared" si="4"/>
        <v>369.24560000000002</v>
      </c>
      <c r="I27" s="6">
        <f t="shared" si="5"/>
        <v>41355.5072</v>
      </c>
    </row>
    <row r="28" spans="1:9">
      <c r="A28" s="21">
        <v>112</v>
      </c>
      <c r="B28" s="2" t="s">
        <v>56</v>
      </c>
      <c r="C28" s="21" t="s">
        <v>54</v>
      </c>
      <c r="D28" s="3">
        <v>630</v>
      </c>
      <c r="E28" s="3">
        <f t="shared" si="3"/>
        <v>70560</v>
      </c>
      <c r="F28" s="1" t="s">
        <v>61</v>
      </c>
      <c r="G28" s="1">
        <v>312.92</v>
      </c>
      <c r="H28" s="6">
        <f t="shared" si="4"/>
        <v>369.24560000000002</v>
      </c>
      <c r="I28" s="6">
        <f t="shared" si="5"/>
        <v>41355.5072</v>
      </c>
    </row>
    <row r="29" spans="1:9" s="26" customFormat="1" ht="30">
      <c r="A29" s="21">
        <v>28000</v>
      </c>
      <c r="B29" s="21" t="s">
        <v>66</v>
      </c>
      <c r="C29" s="21" t="s">
        <v>54</v>
      </c>
      <c r="D29" s="3">
        <v>2.31</v>
      </c>
      <c r="E29" s="3">
        <f t="shared" si="3"/>
        <v>64680</v>
      </c>
      <c r="F29" s="24" t="s">
        <v>67</v>
      </c>
      <c r="G29" s="21">
        <f>1.16+0.0123</f>
        <v>1.1722999999999999</v>
      </c>
      <c r="H29" s="3">
        <f t="shared" si="4"/>
        <v>1.3833139999999997</v>
      </c>
      <c r="I29" s="3">
        <f t="shared" si="5"/>
        <v>38732.791999999994</v>
      </c>
    </row>
    <row r="30" spans="1:9">
      <c r="A30" s="2"/>
      <c r="B30" s="2"/>
      <c r="C30" s="21"/>
      <c r="D30" s="3"/>
      <c r="E30" s="31">
        <f>SUM(E25:E29)</f>
        <v>310035</v>
      </c>
      <c r="F30" s="1"/>
      <c r="G30" s="1"/>
      <c r="H30" s="1"/>
      <c r="I30" s="32">
        <f>SUM(I25:I29)</f>
        <v>172869.88199999998</v>
      </c>
    </row>
  </sheetData>
  <mergeCells count="24">
    <mergeCell ref="A21:I21"/>
    <mergeCell ref="F8:I8"/>
    <mergeCell ref="H9:I9"/>
    <mergeCell ref="F9:F10"/>
    <mergeCell ref="G9:G10"/>
    <mergeCell ref="A8:E8"/>
    <mergeCell ref="D9:E9"/>
    <mergeCell ref="A9:A10"/>
    <mergeCell ref="B9:B10"/>
    <mergeCell ref="C9:C10"/>
    <mergeCell ref="A5:I5"/>
    <mergeCell ref="A6:I6"/>
    <mergeCell ref="A7:I7"/>
    <mergeCell ref="A19:I19"/>
    <mergeCell ref="A20:I20"/>
    <mergeCell ref="A22:E22"/>
    <mergeCell ref="F22:I22"/>
    <mergeCell ref="A23:A24"/>
    <mergeCell ref="B23:B24"/>
    <mergeCell ref="C23:C24"/>
    <mergeCell ref="D23:E23"/>
    <mergeCell ref="F23:F24"/>
    <mergeCell ref="G23:G24"/>
    <mergeCell ref="H23:I2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30"/>
  <sheetViews>
    <sheetView topLeftCell="A35" workbookViewId="0">
      <selection activeCell="N20" sqref="N20"/>
    </sheetView>
  </sheetViews>
  <sheetFormatPr baseColWidth="10" defaultRowHeight="15"/>
  <cols>
    <col min="1" max="1" width="14.7109375" customWidth="1"/>
    <col min="2" max="2" width="45.7109375" customWidth="1"/>
    <col min="6" max="6" width="25.140625" customWidth="1"/>
  </cols>
  <sheetData>
    <row r="3" spans="1:9">
      <c r="A3" s="60" t="s">
        <v>68</v>
      </c>
      <c r="B3" s="60"/>
      <c r="C3" s="60"/>
      <c r="D3" s="60"/>
      <c r="E3" s="60"/>
      <c r="F3" s="60"/>
      <c r="G3" s="60"/>
      <c r="H3" s="60"/>
      <c r="I3" s="60"/>
    </row>
    <row r="4" spans="1:9">
      <c r="A4" s="60" t="s">
        <v>69</v>
      </c>
      <c r="B4" s="60"/>
      <c r="C4" s="60"/>
      <c r="D4" s="60"/>
      <c r="E4" s="60"/>
      <c r="F4" s="60"/>
      <c r="G4" s="60"/>
      <c r="H4" s="60"/>
      <c r="I4" s="60"/>
    </row>
    <row r="5" spans="1:9">
      <c r="A5" s="60" t="s">
        <v>70</v>
      </c>
      <c r="B5" s="60"/>
      <c r="C5" s="60"/>
      <c r="D5" s="60"/>
      <c r="E5" s="60"/>
      <c r="F5" s="60"/>
      <c r="G5" s="60"/>
      <c r="H5" s="60"/>
      <c r="I5" s="60"/>
    </row>
    <row r="6" spans="1:9">
      <c r="A6" s="55" t="s">
        <v>59</v>
      </c>
      <c r="B6" s="55"/>
      <c r="C6" s="55"/>
      <c r="D6" s="55"/>
      <c r="E6" s="55"/>
      <c r="F6" s="55" t="s">
        <v>60</v>
      </c>
      <c r="G6" s="55"/>
      <c r="H6" s="55"/>
      <c r="I6" s="55"/>
    </row>
    <row r="7" spans="1:9">
      <c r="A7" s="56" t="s">
        <v>3</v>
      </c>
      <c r="B7" s="56" t="s">
        <v>48</v>
      </c>
      <c r="C7" s="56" t="s">
        <v>50</v>
      </c>
      <c r="D7" s="65" t="s">
        <v>52</v>
      </c>
      <c r="E7" s="66"/>
      <c r="F7" s="56" t="s">
        <v>22</v>
      </c>
      <c r="G7" s="56" t="s">
        <v>57</v>
      </c>
      <c r="H7" s="62" t="s">
        <v>52</v>
      </c>
      <c r="I7" s="63"/>
    </row>
    <row r="8" spans="1:9">
      <c r="A8" s="57"/>
      <c r="B8" s="57"/>
      <c r="C8" s="57"/>
      <c r="D8" s="40" t="s">
        <v>51</v>
      </c>
      <c r="E8" s="40" t="s">
        <v>49</v>
      </c>
      <c r="F8" s="57"/>
      <c r="G8" s="57"/>
      <c r="H8" s="36" t="s">
        <v>63</v>
      </c>
      <c r="I8" s="36" t="s">
        <v>49</v>
      </c>
    </row>
    <row r="9" spans="1:9">
      <c r="A9" s="11">
        <v>104300</v>
      </c>
      <c r="B9" s="2" t="s">
        <v>71</v>
      </c>
      <c r="C9" s="21" t="s">
        <v>54</v>
      </c>
      <c r="D9" s="33">
        <v>2.37</v>
      </c>
      <c r="E9" s="33">
        <f>D9*A9</f>
        <v>247191</v>
      </c>
      <c r="F9" s="1" t="s">
        <v>62</v>
      </c>
      <c r="G9" s="1">
        <v>1.1599999999999999</v>
      </c>
      <c r="H9" s="37">
        <f>G9*1.18</f>
        <v>1.3687999999999998</v>
      </c>
      <c r="I9" s="37">
        <f>H9*A9</f>
        <v>142765.83999999997</v>
      </c>
    </row>
    <row r="10" spans="1:9">
      <c r="A10" s="11">
        <v>104300</v>
      </c>
      <c r="B10" s="2" t="s">
        <v>72</v>
      </c>
      <c r="C10" s="21" t="s">
        <v>54</v>
      </c>
      <c r="D10" s="41">
        <v>2.53E-2</v>
      </c>
      <c r="E10" s="33">
        <f t="shared" ref="E10:E14" si="0">D10*A10</f>
        <v>2638.79</v>
      </c>
      <c r="F10" s="1" t="s">
        <v>76</v>
      </c>
      <c r="G10" s="1">
        <v>1.23E-2</v>
      </c>
      <c r="H10" s="46">
        <f t="shared" ref="H10:H14" si="1">G10*1.18</f>
        <v>1.4513999999999999E-2</v>
      </c>
      <c r="I10" s="37">
        <f t="shared" ref="I10:I14" si="2">H10*A10</f>
        <v>1513.8101999999999</v>
      </c>
    </row>
    <row r="11" spans="1:9">
      <c r="A11" s="11">
        <v>369</v>
      </c>
      <c r="B11" s="2" t="s">
        <v>73</v>
      </c>
      <c r="C11" s="21" t="s">
        <v>54</v>
      </c>
      <c r="D11" s="33">
        <v>643.5</v>
      </c>
      <c r="E11" s="33">
        <f t="shared" si="0"/>
        <v>237451.5</v>
      </c>
      <c r="F11" s="1" t="s">
        <v>77</v>
      </c>
      <c r="G11" s="1">
        <v>405.46</v>
      </c>
      <c r="H11" s="37">
        <f t="shared" si="1"/>
        <v>478.44279999999998</v>
      </c>
      <c r="I11" s="37">
        <f t="shared" si="2"/>
        <v>176545.39319999999</v>
      </c>
    </row>
    <row r="12" spans="1:9">
      <c r="A12" s="11">
        <v>369</v>
      </c>
      <c r="B12" s="2" t="s">
        <v>74</v>
      </c>
      <c r="C12" s="21" t="s">
        <v>54</v>
      </c>
      <c r="D12" s="33">
        <v>552.5</v>
      </c>
      <c r="E12" s="33">
        <f t="shared" si="0"/>
        <v>203872.5</v>
      </c>
      <c r="F12" s="1" t="s">
        <v>61</v>
      </c>
      <c r="G12" s="1">
        <v>312.92</v>
      </c>
      <c r="H12" s="37">
        <f t="shared" si="1"/>
        <v>369.24560000000002</v>
      </c>
      <c r="I12" s="37">
        <f t="shared" si="2"/>
        <v>136251.62640000001</v>
      </c>
    </row>
    <row r="13" spans="1:9">
      <c r="A13" s="11">
        <v>369</v>
      </c>
      <c r="B13" s="2" t="s">
        <v>74</v>
      </c>
      <c r="C13" s="21" t="s">
        <v>54</v>
      </c>
      <c r="D13" s="33">
        <v>552.5</v>
      </c>
      <c r="E13" s="33">
        <f t="shared" si="0"/>
        <v>203872.5</v>
      </c>
      <c r="F13" s="1" t="s">
        <v>61</v>
      </c>
      <c r="G13" s="1">
        <v>312.92</v>
      </c>
      <c r="H13" s="37">
        <f t="shared" si="1"/>
        <v>369.24560000000002</v>
      </c>
      <c r="I13" s="37">
        <f t="shared" si="2"/>
        <v>136251.62640000001</v>
      </c>
    </row>
    <row r="14" spans="1:9">
      <c r="A14" s="11">
        <v>120</v>
      </c>
      <c r="B14" s="21" t="s">
        <v>75</v>
      </c>
      <c r="C14" s="21" t="s">
        <v>54</v>
      </c>
      <c r="D14" s="33">
        <v>455</v>
      </c>
      <c r="E14" s="33">
        <f t="shared" si="0"/>
        <v>54600</v>
      </c>
      <c r="F14" s="24" t="s">
        <v>9</v>
      </c>
      <c r="G14" s="21">
        <v>213.81</v>
      </c>
      <c r="H14" s="38">
        <f t="shared" si="1"/>
        <v>252.29579999999999</v>
      </c>
      <c r="I14" s="38">
        <f t="shared" si="2"/>
        <v>30275.495999999999</v>
      </c>
    </row>
    <row r="15" spans="1:9">
      <c r="A15" s="28"/>
      <c r="B15" s="2"/>
      <c r="C15" s="21"/>
      <c r="D15" s="33"/>
      <c r="E15" s="34">
        <f>SUM(E9:E14)</f>
        <v>949626.29</v>
      </c>
      <c r="F15" s="1"/>
      <c r="G15" s="1"/>
      <c r="H15" s="36"/>
      <c r="I15" s="39">
        <f>SUM(I9:I14)</f>
        <v>623603.79220000003</v>
      </c>
    </row>
    <row r="16" spans="1:9">
      <c r="D16" s="42"/>
      <c r="E16" s="42"/>
      <c r="H16" s="47"/>
      <c r="I16" s="47"/>
    </row>
    <row r="18" spans="1:9">
      <c r="A18" s="60" t="s">
        <v>78</v>
      </c>
      <c r="B18" s="60"/>
      <c r="C18" s="60"/>
      <c r="D18" s="60"/>
      <c r="E18" s="60"/>
      <c r="F18" s="60"/>
      <c r="G18" s="60"/>
      <c r="H18" s="60"/>
      <c r="I18" s="60"/>
    </row>
    <row r="19" spans="1:9">
      <c r="A19" s="60" t="s">
        <v>79</v>
      </c>
      <c r="B19" s="60"/>
      <c r="C19" s="60"/>
      <c r="D19" s="60"/>
      <c r="E19" s="60"/>
      <c r="F19" s="60"/>
      <c r="G19" s="60"/>
      <c r="H19" s="60"/>
      <c r="I19" s="60"/>
    </row>
    <row r="20" spans="1:9">
      <c r="A20" s="60" t="s">
        <v>80</v>
      </c>
      <c r="B20" s="60"/>
      <c r="C20" s="60"/>
      <c r="D20" s="60"/>
      <c r="E20" s="60"/>
      <c r="F20" s="60"/>
      <c r="G20" s="60"/>
      <c r="H20" s="60"/>
      <c r="I20" s="60"/>
    </row>
    <row r="21" spans="1:9">
      <c r="A21" s="55" t="s">
        <v>59</v>
      </c>
      <c r="B21" s="55"/>
      <c r="C21" s="55"/>
      <c r="D21" s="55"/>
      <c r="E21" s="55"/>
      <c r="F21" s="55" t="s">
        <v>60</v>
      </c>
      <c r="G21" s="55"/>
      <c r="H21" s="55"/>
      <c r="I21" s="55"/>
    </row>
    <row r="22" spans="1:9">
      <c r="A22" s="56" t="s">
        <v>3</v>
      </c>
      <c r="B22" s="56" t="s">
        <v>48</v>
      </c>
      <c r="C22" s="56" t="s">
        <v>50</v>
      </c>
      <c r="D22" s="58" t="s">
        <v>52</v>
      </c>
      <c r="E22" s="59"/>
      <c r="F22" s="56" t="s">
        <v>22</v>
      </c>
      <c r="G22" s="56" t="s">
        <v>57</v>
      </c>
      <c r="H22" s="58" t="s">
        <v>52</v>
      </c>
      <c r="I22" s="59"/>
    </row>
    <row r="23" spans="1:9">
      <c r="A23" s="57"/>
      <c r="B23" s="57"/>
      <c r="C23" s="57"/>
      <c r="D23" s="21" t="s">
        <v>51</v>
      </c>
      <c r="E23" s="21" t="s">
        <v>49</v>
      </c>
      <c r="F23" s="57"/>
      <c r="G23" s="57"/>
      <c r="H23" s="1" t="s">
        <v>63</v>
      </c>
      <c r="I23" s="1" t="s">
        <v>49</v>
      </c>
    </row>
    <row r="24" spans="1:9">
      <c r="A24" s="11">
        <v>85000</v>
      </c>
      <c r="B24" s="2" t="s">
        <v>71</v>
      </c>
      <c r="C24" s="21" t="s">
        <v>54</v>
      </c>
      <c r="D24" s="3">
        <v>2.37</v>
      </c>
      <c r="E24" s="3">
        <f>D24*A24</f>
        <v>201450</v>
      </c>
      <c r="F24" s="1" t="s">
        <v>62</v>
      </c>
      <c r="G24" s="1">
        <v>1.1599999999999999</v>
      </c>
      <c r="H24" s="6">
        <f>G24*1.18</f>
        <v>1.3687999999999998</v>
      </c>
      <c r="I24" s="6">
        <f>H24*A24</f>
        <v>116347.99999999999</v>
      </c>
    </row>
    <row r="25" spans="1:9">
      <c r="A25" s="11">
        <v>85000</v>
      </c>
      <c r="B25" s="2" t="s">
        <v>72</v>
      </c>
      <c r="C25" s="21" t="s">
        <v>54</v>
      </c>
      <c r="D25" s="14">
        <v>2.53E-2</v>
      </c>
      <c r="E25" s="3">
        <f t="shared" ref="E25:E29" si="3">D25*A25</f>
        <v>2150.5</v>
      </c>
      <c r="F25" s="1" t="s">
        <v>76</v>
      </c>
      <c r="G25" s="1">
        <v>1.23E-2</v>
      </c>
      <c r="H25" s="9">
        <f t="shared" ref="H25:H29" si="4">G25*1.18</f>
        <v>1.4513999999999999E-2</v>
      </c>
      <c r="I25" s="6">
        <f t="shared" ref="I25:I29" si="5">H25*A25</f>
        <v>1233.6899999999998</v>
      </c>
    </row>
    <row r="26" spans="1:9">
      <c r="A26" s="11">
        <v>340</v>
      </c>
      <c r="B26" s="2" t="s">
        <v>73</v>
      </c>
      <c r="C26" s="21" t="s">
        <v>54</v>
      </c>
      <c r="D26" s="3">
        <v>643.5</v>
      </c>
      <c r="E26" s="3">
        <f t="shared" si="3"/>
        <v>218790</v>
      </c>
      <c r="F26" s="1" t="s">
        <v>77</v>
      </c>
      <c r="G26" s="1">
        <v>405.46</v>
      </c>
      <c r="H26" s="6">
        <f t="shared" si="4"/>
        <v>478.44279999999998</v>
      </c>
      <c r="I26" s="6">
        <f t="shared" si="5"/>
        <v>162670.552</v>
      </c>
    </row>
    <row r="27" spans="1:9">
      <c r="A27" s="11">
        <v>340</v>
      </c>
      <c r="B27" s="2" t="s">
        <v>74</v>
      </c>
      <c r="C27" s="21" t="s">
        <v>54</v>
      </c>
      <c r="D27" s="3">
        <v>552.5</v>
      </c>
      <c r="E27" s="3">
        <f t="shared" si="3"/>
        <v>187850</v>
      </c>
      <c r="F27" s="1" t="s">
        <v>61</v>
      </c>
      <c r="G27" s="1">
        <v>312.92</v>
      </c>
      <c r="H27" s="6">
        <f t="shared" si="4"/>
        <v>369.24560000000002</v>
      </c>
      <c r="I27" s="6">
        <f t="shared" si="5"/>
        <v>125543.50400000002</v>
      </c>
    </row>
    <row r="28" spans="1:9">
      <c r="A28" s="11">
        <v>340</v>
      </c>
      <c r="B28" s="2" t="s">
        <v>74</v>
      </c>
      <c r="C28" s="21" t="s">
        <v>54</v>
      </c>
      <c r="D28" s="3">
        <v>552.5</v>
      </c>
      <c r="E28" s="3">
        <f t="shared" si="3"/>
        <v>187850</v>
      </c>
      <c r="F28" s="1" t="s">
        <v>61</v>
      </c>
      <c r="G28" s="1">
        <v>312.92</v>
      </c>
      <c r="H28" s="6">
        <f t="shared" si="4"/>
        <v>369.24560000000002</v>
      </c>
      <c r="I28" s="6">
        <f t="shared" si="5"/>
        <v>125543.50400000002</v>
      </c>
    </row>
    <row r="29" spans="1:9">
      <c r="A29" s="11">
        <v>114</v>
      </c>
      <c r="B29" s="21" t="s">
        <v>75</v>
      </c>
      <c r="C29" s="21" t="s">
        <v>54</v>
      </c>
      <c r="D29" s="14">
        <v>454.995</v>
      </c>
      <c r="E29" s="3">
        <f t="shared" si="3"/>
        <v>51869.43</v>
      </c>
      <c r="F29" s="24" t="s">
        <v>9</v>
      </c>
      <c r="G29" s="21">
        <v>213.81</v>
      </c>
      <c r="H29" s="3">
        <f t="shared" si="4"/>
        <v>252.29579999999999</v>
      </c>
      <c r="I29" s="3">
        <f t="shared" si="5"/>
        <v>28761.7212</v>
      </c>
    </row>
    <row r="30" spans="1:9">
      <c r="A30" s="28"/>
      <c r="B30" s="2"/>
      <c r="C30" s="21"/>
      <c r="D30" s="3"/>
      <c r="E30" s="31">
        <f>SUM(E24:E29)</f>
        <v>849959.93</v>
      </c>
      <c r="F30" s="1"/>
      <c r="G30" s="1"/>
      <c r="H30" s="1"/>
      <c r="I30" s="32">
        <f>SUM(I24:I29)</f>
        <v>560100.97120000003</v>
      </c>
    </row>
  </sheetData>
  <mergeCells count="24">
    <mergeCell ref="G7:G8"/>
    <mergeCell ref="H7:I7"/>
    <mergeCell ref="A18:I18"/>
    <mergeCell ref="A19:I19"/>
    <mergeCell ref="A7:A8"/>
    <mergeCell ref="B7:B8"/>
    <mergeCell ref="C7:C8"/>
    <mergeCell ref="D7:E7"/>
    <mergeCell ref="F7:F8"/>
    <mergeCell ref="A3:I3"/>
    <mergeCell ref="A4:I4"/>
    <mergeCell ref="A5:I5"/>
    <mergeCell ref="A6:E6"/>
    <mergeCell ref="F6:I6"/>
    <mergeCell ref="A20:I20"/>
    <mergeCell ref="H22:I22"/>
    <mergeCell ref="A22:A23"/>
    <mergeCell ref="B22:B23"/>
    <mergeCell ref="C22:C23"/>
    <mergeCell ref="D22:E22"/>
    <mergeCell ref="F22:F23"/>
    <mergeCell ref="G22:G23"/>
    <mergeCell ref="A21:E21"/>
    <mergeCell ref="F21:I2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9"/>
  <sheetViews>
    <sheetView topLeftCell="A24" workbookViewId="0">
      <selection activeCell="H28" sqref="H28"/>
    </sheetView>
  </sheetViews>
  <sheetFormatPr baseColWidth="10" defaultRowHeight="15"/>
  <cols>
    <col min="2" max="2" width="38.85546875" customWidth="1"/>
    <col min="4" max="4" width="15.85546875" customWidth="1"/>
    <col min="5" max="5" width="16.140625" customWidth="1"/>
    <col min="6" max="6" width="28.140625" customWidth="1"/>
    <col min="7" max="7" width="15.85546875" customWidth="1"/>
    <col min="8" max="8" width="13.85546875" customWidth="1"/>
    <col min="9" max="9" width="14.42578125" customWidth="1"/>
  </cols>
  <sheetData>
    <row r="3" spans="1:9">
      <c r="A3" s="60" t="s">
        <v>81</v>
      </c>
      <c r="B3" s="60"/>
      <c r="C3" s="60"/>
      <c r="D3" s="60"/>
      <c r="E3" s="60"/>
      <c r="F3" s="60"/>
      <c r="G3" s="60"/>
      <c r="H3" s="60"/>
      <c r="I3" s="60"/>
    </row>
    <row r="4" spans="1:9">
      <c r="A4" s="60" t="s">
        <v>82</v>
      </c>
      <c r="B4" s="60"/>
      <c r="C4" s="60"/>
      <c r="D4" s="60"/>
      <c r="E4" s="60"/>
      <c r="F4" s="60"/>
      <c r="G4" s="60"/>
      <c r="H4" s="60"/>
      <c r="I4" s="60"/>
    </row>
    <row r="5" spans="1:9">
      <c r="A5" s="60" t="s">
        <v>83</v>
      </c>
      <c r="B5" s="60"/>
      <c r="C5" s="60"/>
      <c r="D5" s="60"/>
      <c r="E5" s="60"/>
      <c r="F5" s="60"/>
      <c r="G5" s="60"/>
      <c r="H5" s="60"/>
      <c r="I5" s="60"/>
    </row>
    <row r="6" spans="1:9">
      <c r="A6" s="55" t="s">
        <v>59</v>
      </c>
      <c r="B6" s="55"/>
      <c r="C6" s="55"/>
      <c r="D6" s="55"/>
      <c r="E6" s="55"/>
      <c r="F6" s="55" t="s">
        <v>60</v>
      </c>
      <c r="G6" s="55"/>
      <c r="H6" s="55"/>
      <c r="I6" s="55"/>
    </row>
    <row r="7" spans="1:9">
      <c r="A7" s="56" t="s">
        <v>3</v>
      </c>
      <c r="B7" s="56" t="s">
        <v>48</v>
      </c>
      <c r="C7" s="56" t="s">
        <v>50</v>
      </c>
      <c r="D7" s="65" t="s">
        <v>52</v>
      </c>
      <c r="E7" s="66"/>
      <c r="F7" s="56" t="s">
        <v>22</v>
      </c>
      <c r="G7" s="56" t="s">
        <v>57</v>
      </c>
      <c r="H7" s="62" t="s">
        <v>52</v>
      </c>
      <c r="I7" s="63"/>
    </row>
    <row r="8" spans="1:9">
      <c r="A8" s="57"/>
      <c r="B8" s="57"/>
      <c r="C8" s="57"/>
      <c r="D8" s="40" t="s">
        <v>51</v>
      </c>
      <c r="E8" s="40" t="s">
        <v>49</v>
      </c>
      <c r="F8" s="57"/>
      <c r="G8" s="57"/>
      <c r="H8" s="36" t="s">
        <v>63</v>
      </c>
      <c r="I8" s="36" t="s">
        <v>49</v>
      </c>
    </row>
    <row r="9" spans="1:9">
      <c r="A9" s="11">
        <v>34</v>
      </c>
      <c r="B9" s="2" t="s">
        <v>84</v>
      </c>
      <c r="C9" s="21" t="s">
        <v>54</v>
      </c>
      <c r="D9" s="33">
        <v>653</v>
      </c>
      <c r="E9" s="33">
        <f>D9*A9</f>
        <v>22202</v>
      </c>
      <c r="F9" s="1" t="s">
        <v>77</v>
      </c>
      <c r="G9" s="1">
        <v>405.46</v>
      </c>
      <c r="H9" s="37">
        <f>G9*1.18</f>
        <v>478.44279999999998</v>
      </c>
      <c r="I9" s="37">
        <f>H9*A9</f>
        <v>16267.055199999999</v>
      </c>
    </row>
    <row r="10" spans="1:9">
      <c r="A10" s="11">
        <v>130</v>
      </c>
      <c r="B10" s="2" t="s">
        <v>85</v>
      </c>
      <c r="C10" s="21" t="s">
        <v>54</v>
      </c>
      <c r="D10" s="41">
        <v>674</v>
      </c>
      <c r="E10" s="33">
        <f t="shared" ref="E10:E17" si="0">D10*A10</f>
        <v>87620</v>
      </c>
      <c r="F10" s="1" t="s">
        <v>77</v>
      </c>
      <c r="G10" s="1">
        <v>405.46</v>
      </c>
      <c r="H10" s="46">
        <f t="shared" ref="H10:H17" si="1">G10*1.18</f>
        <v>478.44279999999998</v>
      </c>
      <c r="I10" s="37">
        <f t="shared" ref="I10:I17" si="2">H10*A10</f>
        <v>62197.563999999998</v>
      </c>
    </row>
    <row r="11" spans="1:9">
      <c r="A11" s="11">
        <v>20</v>
      </c>
      <c r="B11" s="2" t="s">
        <v>86</v>
      </c>
      <c r="C11" s="21" t="s">
        <v>54</v>
      </c>
      <c r="D11" s="41">
        <v>476</v>
      </c>
      <c r="E11" s="33">
        <f t="shared" si="0"/>
        <v>9520</v>
      </c>
      <c r="F11" s="1" t="s">
        <v>9</v>
      </c>
      <c r="G11" s="1">
        <v>213.81</v>
      </c>
      <c r="H11" s="46">
        <f t="shared" si="1"/>
        <v>252.29579999999999</v>
      </c>
      <c r="I11" s="37">
        <f t="shared" si="2"/>
        <v>5045.9159999999993</v>
      </c>
    </row>
    <row r="12" spans="1:9">
      <c r="A12" s="11">
        <v>225</v>
      </c>
      <c r="B12" s="2" t="s">
        <v>74</v>
      </c>
      <c r="C12" s="21" t="s">
        <v>54</v>
      </c>
      <c r="D12" s="41">
        <v>590</v>
      </c>
      <c r="E12" s="33">
        <f t="shared" si="0"/>
        <v>132750</v>
      </c>
      <c r="F12" s="1" t="s">
        <v>61</v>
      </c>
      <c r="G12" s="1">
        <v>312.92</v>
      </c>
      <c r="H12" s="46">
        <f t="shared" si="1"/>
        <v>369.24560000000002</v>
      </c>
      <c r="I12" s="37">
        <f t="shared" si="2"/>
        <v>83080.260000000009</v>
      </c>
    </row>
    <row r="13" spans="1:9">
      <c r="A13" s="11">
        <v>225</v>
      </c>
      <c r="B13" s="2" t="s">
        <v>74</v>
      </c>
      <c r="C13" s="21" t="s">
        <v>54</v>
      </c>
      <c r="D13" s="33">
        <v>590</v>
      </c>
      <c r="E13" s="33">
        <f t="shared" si="0"/>
        <v>132750</v>
      </c>
      <c r="F13" s="1" t="s">
        <v>61</v>
      </c>
      <c r="G13" s="1">
        <v>312.92</v>
      </c>
      <c r="H13" s="37">
        <f t="shared" si="1"/>
        <v>369.24560000000002</v>
      </c>
      <c r="I13" s="37">
        <f t="shared" si="2"/>
        <v>83080.260000000009</v>
      </c>
    </row>
    <row r="14" spans="1:9">
      <c r="A14" s="11">
        <v>12</v>
      </c>
      <c r="B14" s="2" t="s">
        <v>87</v>
      </c>
      <c r="C14" s="21" t="s">
        <v>54</v>
      </c>
      <c r="D14" s="33">
        <v>266</v>
      </c>
      <c r="E14" s="33">
        <f t="shared" si="0"/>
        <v>3192</v>
      </c>
      <c r="F14" s="1" t="s">
        <v>9</v>
      </c>
      <c r="G14" s="1">
        <v>107.71</v>
      </c>
      <c r="H14" s="37">
        <f t="shared" si="1"/>
        <v>127.09779999999999</v>
      </c>
      <c r="I14" s="37">
        <f t="shared" si="2"/>
        <v>1525.1735999999999</v>
      </c>
    </row>
    <row r="15" spans="1:9">
      <c r="A15" s="11">
        <v>12</v>
      </c>
      <c r="B15" s="2" t="s">
        <v>87</v>
      </c>
      <c r="C15" s="21" t="s">
        <v>54</v>
      </c>
      <c r="D15" s="33">
        <v>266</v>
      </c>
      <c r="E15" s="33">
        <f t="shared" si="0"/>
        <v>3192</v>
      </c>
      <c r="F15" s="1" t="s">
        <v>9</v>
      </c>
      <c r="G15" s="1">
        <v>107.71</v>
      </c>
      <c r="H15" s="37">
        <f t="shared" si="1"/>
        <v>127.09779999999999</v>
      </c>
      <c r="I15" s="37">
        <f t="shared" si="2"/>
        <v>1525.1735999999999</v>
      </c>
    </row>
    <row r="16" spans="1:9" ht="36.75" customHeight="1">
      <c r="A16" s="11">
        <v>55000</v>
      </c>
      <c r="B16" s="29" t="s">
        <v>88</v>
      </c>
      <c r="C16" s="21" t="s">
        <v>54</v>
      </c>
      <c r="D16" s="41">
        <v>2.54</v>
      </c>
      <c r="E16" s="33">
        <f t="shared" si="0"/>
        <v>139700</v>
      </c>
      <c r="F16" s="24" t="s">
        <v>67</v>
      </c>
      <c r="G16" s="21">
        <f>1.16+0.0123</f>
        <v>1.1722999999999999</v>
      </c>
      <c r="H16" s="38">
        <f t="shared" si="1"/>
        <v>1.3833139999999997</v>
      </c>
      <c r="I16" s="38">
        <f t="shared" si="2"/>
        <v>76082.26999999999</v>
      </c>
    </row>
    <row r="17" spans="1:9">
      <c r="A17" s="11">
        <v>200</v>
      </c>
      <c r="B17" s="29" t="s">
        <v>89</v>
      </c>
      <c r="C17" s="21" t="s">
        <v>54</v>
      </c>
      <c r="D17" s="41">
        <v>0.61</v>
      </c>
      <c r="E17" s="33">
        <f t="shared" si="0"/>
        <v>122</v>
      </c>
      <c r="F17" s="24"/>
      <c r="G17" s="21"/>
      <c r="H17" s="37">
        <f t="shared" si="1"/>
        <v>0</v>
      </c>
      <c r="I17" s="37">
        <f t="shared" si="2"/>
        <v>0</v>
      </c>
    </row>
    <row r="18" spans="1:9">
      <c r="A18" s="28"/>
      <c r="B18" s="2"/>
      <c r="C18" s="21"/>
      <c r="D18" s="33"/>
      <c r="E18" s="34">
        <f>SUM(E9:E17)</f>
        <v>531048</v>
      </c>
      <c r="F18" s="1"/>
      <c r="G18" s="1"/>
      <c r="H18" s="36"/>
      <c r="I18" s="39">
        <f>SUM(I9:I17)</f>
        <v>328803.67240000004</v>
      </c>
    </row>
    <row r="19" spans="1:9">
      <c r="D19" s="42"/>
      <c r="E19" s="42"/>
      <c r="H19" s="47"/>
      <c r="I19" s="47"/>
    </row>
  </sheetData>
  <mergeCells count="12">
    <mergeCell ref="G7:G8"/>
    <mergeCell ref="H7:I7"/>
    <mergeCell ref="A3:I3"/>
    <mergeCell ref="A4:I4"/>
    <mergeCell ref="A5:I5"/>
    <mergeCell ref="A6:E6"/>
    <mergeCell ref="F6:I6"/>
    <mergeCell ref="A7:A8"/>
    <mergeCell ref="B7:B8"/>
    <mergeCell ref="C7:C8"/>
    <mergeCell ref="D7:E7"/>
    <mergeCell ref="F7:F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9"/>
  <sheetViews>
    <sheetView topLeftCell="A4" workbookViewId="0">
      <selection activeCell="G30" sqref="G30"/>
    </sheetView>
  </sheetViews>
  <sheetFormatPr baseColWidth="10" defaultRowHeight="15"/>
  <cols>
    <col min="2" max="2" width="39.42578125" customWidth="1"/>
    <col min="4" max="4" width="13" customWidth="1"/>
    <col min="5" max="5" width="15.140625" customWidth="1"/>
    <col min="6" max="6" width="28.140625" customWidth="1"/>
    <col min="7" max="7" width="16.140625" customWidth="1"/>
    <col min="8" max="8" width="14" customWidth="1"/>
    <col min="9" max="9" width="15.28515625" customWidth="1"/>
  </cols>
  <sheetData>
    <row r="3" spans="1:9">
      <c r="A3" s="60" t="s">
        <v>100</v>
      </c>
      <c r="B3" s="60"/>
      <c r="C3" s="60"/>
      <c r="D3" s="60"/>
      <c r="E3" s="60"/>
      <c r="F3" s="60"/>
      <c r="G3" s="60"/>
      <c r="H3" s="60"/>
      <c r="I3" s="60"/>
    </row>
    <row r="4" spans="1:9">
      <c r="A4" s="60" t="s">
        <v>101</v>
      </c>
      <c r="B4" s="60"/>
      <c r="C4" s="60"/>
      <c r="D4" s="60"/>
      <c r="E4" s="60"/>
      <c r="F4" s="60"/>
      <c r="G4" s="60"/>
      <c r="H4" s="60"/>
      <c r="I4" s="60"/>
    </row>
    <row r="5" spans="1:9">
      <c r="A5" s="60" t="s">
        <v>102</v>
      </c>
      <c r="B5" s="60"/>
      <c r="C5" s="60"/>
      <c r="D5" s="60"/>
      <c r="E5" s="60"/>
      <c r="F5" s="60"/>
      <c r="G5" s="60"/>
      <c r="H5" s="60"/>
      <c r="I5" s="60"/>
    </row>
    <row r="6" spans="1:9">
      <c r="A6" s="55" t="s">
        <v>59</v>
      </c>
      <c r="B6" s="55"/>
      <c r="C6" s="55"/>
      <c r="D6" s="55"/>
      <c r="E6" s="55"/>
      <c r="F6" s="55" t="s">
        <v>118</v>
      </c>
      <c r="G6" s="55"/>
      <c r="H6" s="55"/>
      <c r="I6" s="55"/>
    </row>
    <row r="7" spans="1:9">
      <c r="A7" s="56" t="s">
        <v>3</v>
      </c>
      <c r="B7" s="56" t="s">
        <v>48</v>
      </c>
      <c r="C7" s="56" t="s">
        <v>50</v>
      </c>
      <c r="D7" s="65" t="s">
        <v>52</v>
      </c>
      <c r="E7" s="66"/>
      <c r="F7" s="56" t="s">
        <v>22</v>
      </c>
      <c r="G7" s="56" t="s">
        <v>57</v>
      </c>
      <c r="H7" s="62" t="s">
        <v>52</v>
      </c>
      <c r="I7" s="63"/>
    </row>
    <row r="8" spans="1:9">
      <c r="A8" s="57"/>
      <c r="B8" s="57"/>
      <c r="C8" s="57"/>
      <c r="D8" s="40" t="s">
        <v>51</v>
      </c>
      <c r="E8" s="40" t="s">
        <v>49</v>
      </c>
      <c r="F8" s="57"/>
      <c r="G8" s="57"/>
      <c r="H8" s="36" t="s">
        <v>63</v>
      </c>
      <c r="I8" s="36" t="s">
        <v>49</v>
      </c>
    </row>
    <row r="9" spans="1:9">
      <c r="A9" s="11">
        <v>120</v>
      </c>
      <c r="B9" s="2" t="s">
        <v>103</v>
      </c>
      <c r="C9" s="21" t="s">
        <v>54</v>
      </c>
      <c r="D9" s="33">
        <v>679.49</v>
      </c>
      <c r="E9" s="33">
        <f>D9*A9</f>
        <v>81538.8</v>
      </c>
      <c r="F9" s="1" t="s">
        <v>90</v>
      </c>
      <c r="G9" s="1">
        <v>291.99</v>
      </c>
      <c r="H9" s="37">
        <f>G9*1.18</f>
        <v>344.54820000000001</v>
      </c>
      <c r="I9" s="37">
        <f>H9*A9</f>
        <v>41345.784</v>
      </c>
    </row>
    <row r="10" spans="1:9">
      <c r="A10" s="11">
        <v>60</v>
      </c>
      <c r="B10" s="2" t="s">
        <v>103</v>
      </c>
      <c r="C10" s="21" t="s">
        <v>54</v>
      </c>
      <c r="D10" s="33">
        <v>696.7</v>
      </c>
      <c r="E10" s="33">
        <f t="shared" ref="E10:E17" si="0">D10*A10</f>
        <v>41802</v>
      </c>
      <c r="F10" s="1" t="s">
        <v>90</v>
      </c>
      <c r="G10" s="1">
        <v>283.88</v>
      </c>
      <c r="H10" s="37">
        <f t="shared" ref="H10:H17" si="1">G10*1.18</f>
        <v>334.97839999999997</v>
      </c>
      <c r="I10" s="37">
        <f t="shared" ref="I10:I17" si="2">H10*A10</f>
        <v>20098.703999999998</v>
      </c>
    </row>
    <row r="11" spans="1:9">
      <c r="A11" s="11">
        <v>30</v>
      </c>
      <c r="B11" s="2" t="s">
        <v>104</v>
      </c>
      <c r="C11" s="21" t="s">
        <v>54</v>
      </c>
      <c r="D11" s="33">
        <v>480.12</v>
      </c>
      <c r="E11" s="33">
        <f t="shared" si="0"/>
        <v>14403.6</v>
      </c>
      <c r="F11" s="1" t="s">
        <v>90</v>
      </c>
      <c r="G11" s="1">
        <v>203.54</v>
      </c>
      <c r="H11" s="37">
        <f t="shared" si="1"/>
        <v>240.17719999999997</v>
      </c>
      <c r="I11" s="37">
        <f t="shared" si="2"/>
        <v>7205.3159999999989</v>
      </c>
    </row>
    <row r="12" spans="1:9">
      <c r="A12" s="11">
        <v>30</v>
      </c>
      <c r="B12" s="2" t="s">
        <v>105</v>
      </c>
      <c r="C12" s="21" t="s">
        <v>54</v>
      </c>
      <c r="D12" s="33">
        <v>468.23</v>
      </c>
      <c r="E12" s="33">
        <f t="shared" si="0"/>
        <v>14046.900000000001</v>
      </c>
      <c r="F12" s="1" t="s">
        <v>90</v>
      </c>
      <c r="G12" s="1">
        <v>196.93</v>
      </c>
      <c r="H12" s="37">
        <f t="shared" si="1"/>
        <v>232.37739999999999</v>
      </c>
      <c r="I12" s="37">
        <f t="shared" si="2"/>
        <v>6971.3220000000001</v>
      </c>
    </row>
    <row r="13" spans="1:9">
      <c r="A13" s="11">
        <v>168</v>
      </c>
      <c r="B13" s="2" t="s">
        <v>74</v>
      </c>
      <c r="C13" s="21" t="s">
        <v>54</v>
      </c>
      <c r="D13" s="33">
        <v>606.16</v>
      </c>
      <c r="E13" s="33">
        <f t="shared" si="0"/>
        <v>101834.87999999999</v>
      </c>
      <c r="F13" s="1" t="s">
        <v>61</v>
      </c>
      <c r="G13" s="1">
        <v>312.92</v>
      </c>
      <c r="H13" s="37">
        <f t="shared" si="1"/>
        <v>369.24560000000002</v>
      </c>
      <c r="I13" s="37">
        <f t="shared" si="2"/>
        <v>62033.260800000004</v>
      </c>
    </row>
    <row r="14" spans="1:9">
      <c r="A14" s="11">
        <v>168</v>
      </c>
      <c r="B14" s="2" t="s">
        <v>74</v>
      </c>
      <c r="C14" s="21" t="s">
        <v>54</v>
      </c>
      <c r="D14" s="33">
        <v>606.16</v>
      </c>
      <c r="E14" s="33">
        <f t="shared" si="0"/>
        <v>101834.87999999999</v>
      </c>
      <c r="F14" s="1" t="s">
        <v>61</v>
      </c>
      <c r="G14" s="1">
        <v>312.92</v>
      </c>
      <c r="H14" s="37">
        <f t="shared" si="1"/>
        <v>369.24560000000002</v>
      </c>
      <c r="I14" s="37">
        <f t="shared" si="2"/>
        <v>62033.260800000004</v>
      </c>
    </row>
    <row r="15" spans="1:9" s="25" customFormat="1" ht="37.5" customHeight="1">
      <c r="A15" s="11">
        <v>12000</v>
      </c>
      <c r="B15" s="29" t="s">
        <v>88</v>
      </c>
      <c r="C15" s="21" t="s">
        <v>54</v>
      </c>
      <c r="D15" s="33">
        <v>2.5299999999999998</v>
      </c>
      <c r="E15" s="33">
        <f t="shared" si="0"/>
        <v>30359.999999999996</v>
      </c>
      <c r="F15" s="24" t="s">
        <v>108</v>
      </c>
      <c r="G15" s="21">
        <f>0.9113+0.0439</f>
        <v>0.95520000000000005</v>
      </c>
      <c r="H15" s="38">
        <f t="shared" si="1"/>
        <v>1.1271359999999999</v>
      </c>
      <c r="I15" s="38">
        <f t="shared" si="2"/>
        <v>13525.632</v>
      </c>
    </row>
    <row r="16" spans="1:9">
      <c r="A16" s="11">
        <v>200</v>
      </c>
      <c r="B16" s="29" t="s">
        <v>106</v>
      </c>
      <c r="C16" s="21" t="s">
        <v>54</v>
      </c>
      <c r="D16" s="41">
        <v>0.46</v>
      </c>
      <c r="E16" s="33">
        <f t="shared" si="0"/>
        <v>92</v>
      </c>
      <c r="F16" s="24"/>
      <c r="G16" s="21"/>
      <c r="H16" s="38">
        <f t="shared" si="1"/>
        <v>0</v>
      </c>
      <c r="I16" s="38">
        <f t="shared" si="2"/>
        <v>0</v>
      </c>
    </row>
    <row r="17" spans="1:9" s="25" customFormat="1">
      <c r="A17" s="11">
        <v>12</v>
      </c>
      <c r="B17" s="29" t="s">
        <v>107</v>
      </c>
      <c r="C17" s="21" t="s">
        <v>54</v>
      </c>
      <c r="D17" s="41">
        <v>272.5</v>
      </c>
      <c r="E17" s="33">
        <f t="shared" si="0"/>
        <v>3270</v>
      </c>
      <c r="F17" s="24" t="s">
        <v>90</v>
      </c>
      <c r="G17" s="21">
        <v>69.66</v>
      </c>
      <c r="H17" s="38">
        <f t="shared" si="1"/>
        <v>82.198799999999991</v>
      </c>
      <c r="I17" s="38">
        <f t="shared" si="2"/>
        <v>986.38559999999984</v>
      </c>
    </row>
    <row r="18" spans="1:9">
      <c r="A18" s="28"/>
      <c r="B18" s="2"/>
      <c r="C18" s="21"/>
      <c r="D18" s="33"/>
      <c r="E18" s="34">
        <f>SUM(E9:E17)</f>
        <v>389183.06</v>
      </c>
      <c r="F18" s="1"/>
      <c r="G18" s="1"/>
      <c r="H18" s="36"/>
      <c r="I18" s="39">
        <f>SUM(I9:I17)</f>
        <v>214199.66520000005</v>
      </c>
    </row>
    <row r="19" spans="1:9">
      <c r="D19" s="42"/>
      <c r="E19" s="42"/>
      <c r="H19" s="47"/>
      <c r="I19" s="47"/>
    </row>
  </sheetData>
  <mergeCells count="12">
    <mergeCell ref="G7:G8"/>
    <mergeCell ref="H7:I7"/>
    <mergeCell ref="A3:I3"/>
    <mergeCell ref="A4:I4"/>
    <mergeCell ref="A5:I5"/>
    <mergeCell ref="A6:E6"/>
    <mergeCell ref="F6:I6"/>
    <mergeCell ref="A7:A8"/>
    <mergeCell ref="B7:B8"/>
    <mergeCell ref="C7:C8"/>
    <mergeCell ref="D7:E7"/>
    <mergeCell ref="F7:F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5"/>
  <sheetViews>
    <sheetView topLeftCell="A17" workbookViewId="0">
      <selection activeCell="F22" sqref="F22"/>
    </sheetView>
  </sheetViews>
  <sheetFormatPr baseColWidth="10" defaultRowHeight="15"/>
  <cols>
    <col min="2" max="2" width="37.140625" customWidth="1"/>
    <col min="4" max="4" width="14" customWidth="1"/>
    <col min="5" max="5" width="15.85546875" customWidth="1"/>
    <col min="6" max="6" width="24.42578125" customWidth="1"/>
    <col min="7" max="7" width="14.85546875" customWidth="1"/>
    <col min="8" max="8" width="15.42578125" customWidth="1"/>
    <col min="9" max="9" width="14" customWidth="1"/>
  </cols>
  <sheetData>
    <row r="3" spans="1:9">
      <c r="A3" s="60" t="s">
        <v>111</v>
      </c>
      <c r="B3" s="60"/>
      <c r="C3" s="60"/>
      <c r="D3" s="60"/>
      <c r="E3" s="60"/>
      <c r="F3" s="60"/>
      <c r="G3" s="60"/>
      <c r="H3" s="60"/>
      <c r="I3" s="60"/>
    </row>
    <row r="4" spans="1:9">
      <c r="A4" s="60" t="s">
        <v>109</v>
      </c>
      <c r="B4" s="60"/>
      <c r="C4" s="60"/>
      <c r="D4" s="60"/>
      <c r="E4" s="60"/>
      <c r="F4" s="60"/>
      <c r="G4" s="60"/>
      <c r="H4" s="60"/>
      <c r="I4" s="60"/>
    </row>
    <row r="5" spans="1:9">
      <c r="A5" s="60" t="s">
        <v>110</v>
      </c>
      <c r="B5" s="60"/>
      <c r="C5" s="60"/>
      <c r="D5" s="60"/>
      <c r="E5" s="60"/>
      <c r="F5" s="60"/>
      <c r="G5" s="60"/>
      <c r="H5" s="60"/>
      <c r="I5" s="60"/>
    </row>
    <row r="6" spans="1:9">
      <c r="A6" s="55" t="s">
        <v>59</v>
      </c>
      <c r="B6" s="55"/>
      <c r="C6" s="55"/>
      <c r="D6" s="55"/>
      <c r="E6" s="55"/>
      <c r="F6" s="55" t="s">
        <v>119</v>
      </c>
      <c r="G6" s="55"/>
      <c r="H6" s="55"/>
      <c r="I6" s="55"/>
    </row>
    <row r="7" spans="1:9">
      <c r="A7" s="56" t="s">
        <v>3</v>
      </c>
      <c r="B7" s="56" t="s">
        <v>48</v>
      </c>
      <c r="C7" s="56" t="s">
        <v>50</v>
      </c>
      <c r="D7" s="65" t="s">
        <v>52</v>
      </c>
      <c r="E7" s="66"/>
      <c r="F7" s="56" t="s">
        <v>22</v>
      </c>
      <c r="G7" s="56" t="s">
        <v>57</v>
      </c>
      <c r="H7" s="62" t="s">
        <v>52</v>
      </c>
      <c r="I7" s="63"/>
    </row>
    <row r="8" spans="1:9">
      <c r="A8" s="57"/>
      <c r="B8" s="57"/>
      <c r="C8" s="57"/>
      <c r="D8" s="40" t="s">
        <v>51</v>
      </c>
      <c r="E8" s="40" t="s">
        <v>49</v>
      </c>
      <c r="F8" s="57"/>
      <c r="G8" s="57"/>
      <c r="H8" s="36" t="s">
        <v>63</v>
      </c>
      <c r="I8" s="36" t="s">
        <v>49</v>
      </c>
    </row>
    <row r="9" spans="1:9" s="25" customFormat="1" ht="30">
      <c r="A9" s="11">
        <v>4500</v>
      </c>
      <c r="B9" s="20" t="s">
        <v>88</v>
      </c>
      <c r="C9" s="21" t="s">
        <v>54</v>
      </c>
      <c r="D9" s="33">
        <v>2.4</v>
      </c>
      <c r="E9" s="33">
        <f>D9*A9</f>
        <v>10800</v>
      </c>
      <c r="F9" s="24" t="s">
        <v>108</v>
      </c>
      <c r="G9" s="21">
        <v>0.95520000000000005</v>
      </c>
      <c r="H9" s="38">
        <f>G9*1.18</f>
        <v>1.1271359999999999</v>
      </c>
      <c r="I9" s="38">
        <f>H9*A9</f>
        <v>5072.1119999999992</v>
      </c>
    </row>
    <row r="10" spans="1:9">
      <c r="A10" s="11">
        <v>18</v>
      </c>
      <c r="B10" s="2" t="s">
        <v>103</v>
      </c>
      <c r="C10" s="21" t="s">
        <v>54</v>
      </c>
      <c r="D10" s="33">
        <v>651.20000000000005</v>
      </c>
      <c r="E10" s="33">
        <f t="shared" ref="E10:E13" si="0">D10*A10</f>
        <v>11721.6</v>
      </c>
      <c r="F10" s="1" t="s">
        <v>90</v>
      </c>
      <c r="G10" s="1">
        <v>283.88</v>
      </c>
      <c r="H10" s="37">
        <f t="shared" ref="H10:H13" si="1">G10*1.18</f>
        <v>334.97839999999997</v>
      </c>
      <c r="I10" s="37">
        <f t="shared" ref="I10:I13" si="2">H10*A10</f>
        <v>6029.6111999999994</v>
      </c>
    </row>
    <row r="11" spans="1:9">
      <c r="A11" s="11">
        <v>18</v>
      </c>
      <c r="B11" s="2" t="s">
        <v>112</v>
      </c>
      <c r="C11" s="21" t="s">
        <v>54</v>
      </c>
      <c r="D11" s="33">
        <v>577</v>
      </c>
      <c r="E11" s="33">
        <f t="shared" si="0"/>
        <v>10386</v>
      </c>
      <c r="F11" s="1" t="s">
        <v>61</v>
      </c>
      <c r="G11" s="1">
        <v>312.92</v>
      </c>
      <c r="H11" s="37">
        <f t="shared" si="1"/>
        <v>369.24560000000002</v>
      </c>
      <c r="I11" s="37">
        <f t="shared" si="2"/>
        <v>6646.4208000000008</v>
      </c>
    </row>
    <row r="12" spans="1:9">
      <c r="A12" s="11">
        <v>18</v>
      </c>
      <c r="B12" s="2" t="s">
        <v>112</v>
      </c>
      <c r="C12" s="21" t="s">
        <v>54</v>
      </c>
      <c r="D12" s="33">
        <v>577</v>
      </c>
      <c r="E12" s="33">
        <f t="shared" si="0"/>
        <v>10386</v>
      </c>
      <c r="F12" s="1" t="s">
        <v>61</v>
      </c>
      <c r="G12" s="1">
        <v>312.92</v>
      </c>
      <c r="H12" s="37">
        <f t="shared" si="1"/>
        <v>369.24560000000002</v>
      </c>
      <c r="I12" s="37">
        <f t="shared" si="2"/>
        <v>6646.4208000000008</v>
      </c>
    </row>
    <row r="13" spans="1:9">
      <c r="A13" s="11">
        <v>6</v>
      </c>
      <c r="B13" s="2" t="s">
        <v>113</v>
      </c>
      <c r="C13" s="21" t="s">
        <v>54</v>
      </c>
      <c r="D13" s="33">
        <v>416.1</v>
      </c>
      <c r="E13" s="33">
        <f t="shared" si="0"/>
        <v>2496.6000000000004</v>
      </c>
      <c r="F13" s="1" t="s">
        <v>90</v>
      </c>
      <c r="G13" s="1">
        <v>203.54</v>
      </c>
      <c r="H13" s="37">
        <f t="shared" si="1"/>
        <v>240.17719999999997</v>
      </c>
      <c r="I13" s="37">
        <f t="shared" si="2"/>
        <v>1441.0631999999998</v>
      </c>
    </row>
    <row r="14" spans="1:9">
      <c r="A14" s="28"/>
      <c r="B14" s="2"/>
      <c r="C14" s="21"/>
      <c r="D14" s="33"/>
      <c r="E14" s="34">
        <f>SUM(E9:E13)</f>
        <v>45790.2</v>
      </c>
      <c r="F14" s="1"/>
      <c r="G14" s="1"/>
      <c r="H14" s="36"/>
      <c r="I14" s="39">
        <f>SUM(I9:I13)</f>
        <v>25835.628000000001</v>
      </c>
    </row>
    <row r="15" spans="1:9">
      <c r="D15" s="42"/>
      <c r="E15" s="42"/>
      <c r="H15" s="47"/>
      <c r="I15" s="47"/>
    </row>
  </sheetData>
  <mergeCells count="12">
    <mergeCell ref="G7:G8"/>
    <mergeCell ref="H7:I7"/>
    <mergeCell ref="A3:I3"/>
    <mergeCell ref="A4:I4"/>
    <mergeCell ref="A5:I5"/>
    <mergeCell ref="A6:E6"/>
    <mergeCell ref="F6:I6"/>
    <mergeCell ref="A7:A8"/>
    <mergeCell ref="B7:B8"/>
    <mergeCell ref="C7:C8"/>
    <mergeCell ref="D7:E7"/>
    <mergeCell ref="F7:F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7"/>
  <sheetViews>
    <sheetView workbookViewId="0">
      <selection activeCell="H32" sqref="H32"/>
    </sheetView>
  </sheetViews>
  <sheetFormatPr baseColWidth="10" defaultRowHeight="15"/>
  <cols>
    <col min="2" max="2" width="37.7109375" customWidth="1"/>
    <col min="4" max="4" width="13.85546875" customWidth="1"/>
    <col min="5" max="5" width="14.42578125" customWidth="1"/>
    <col min="6" max="6" width="25" customWidth="1"/>
    <col min="7" max="7" width="13.7109375" customWidth="1"/>
    <col min="8" max="8" width="15.42578125" customWidth="1"/>
    <col min="9" max="9" width="17.42578125" customWidth="1"/>
  </cols>
  <sheetData>
    <row r="3" spans="1:9">
      <c r="A3" s="60" t="s">
        <v>114</v>
      </c>
      <c r="B3" s="60"/>
      <c r="C3" s="60"/>
      <c r="D3" s="60"/>
      <c r="E3" s="60"/>
      <c r="F3" s="60"/>
      <c r="G3" s="60"/>
      <c r="H3" s="60"/>
      <c r="I3" s="60"/>
    </row>
    <row r="4" spans="1:9">
      <c r="A4" s="60" t="s">
        <v>115</v>
      </c>
      <c r="B4" s="60"/>
      <c r="C4" s="60"/>
      <c r="D4" s="60"/>
      <c r="E4" s="60"/>
      <c r="F4" s="60"/>
      <c r="G4" s="60"/>
      <c r="H4" s="60"/>
      <c r="I4" s="60"/>
    </row>
    <row r="5" spans="1:9">
      <c r="A5" s="60" t="s">
        <v>116</v>
      </c>
      <c r="B5" s="60"/>
      <c r="C5" s="60"/>
      <c r="D5" s="60"/>
      <c r="E5" s="60"/>
      <c r="F5" s="60"/>
      <c r="G5" s="60"/>
      <c r="H5" s="60"/>
      <c r="I5" s="60"/>
    </row>
    <row r="6" spans="1:9">
      <c r="A6" s="55" t="s">
        <v>59</v>
      </c>
      <c r="B6" s="55"/>
      <c r="C6" s="55"/>
      <c r="D6" s="55"/>
      <c r="E6" s="55"/>
      <c r="F6" s="55" t="s">
        <v>120</v>
      </c>
      <c r="G6" s="55"/>
      <c r="H6" s="55"/>
      <c r="I6" s="55"/>
    </row>
    <row r="7" spans="1:9">
      <c r="A7" s="56" t="s">
        <v>3</v>
      </c>
      <c r="B7" s="56" t="s">
        <v>48</v>
      </c>
      <c r="C7" s="56" t="s">
        <v>50</v>
      </c>
      <c r="D7" s="65" t="s">
        <v>52</v>
      </c>
      <c r="E7" s="66"/>
      <c r="F7" s="56" t="s">
        <v>22</v>
      </c>
      <c r="G7" s="56" t="s">
        <v>57</v>
      </c>
      <c r="H7" s="62" t="s">
        <v>52</v>
      </c>
      <c r="I7" s="63"/>
    </row>
    <row r="8" spans="1:9">
      <c r="A8" s="57"/>
      <c r="B8" s="57"/>
      <c r="C8" s="57"/>
      <c r="D8" s="40" t="s">
        <v>51</v>
      </c>
      <c r="E8" s="40" t="s">
        <v>49</v>
      </c>
      <c r="F8" s="57"/>
      <c r="G8" s="57"/>
      <c r="H8" s="36" t="s">
        <v>63</v>
      </c>
      <c r="I8" s="36" t="s">
        <v>49</v>
      </c>
    </row>
    <row r="9" spans="1:9">
      <c r="A9" s="11">
        <v>100</v>
      </c>
      <c r="B9" s="2" t="s">
        <v>103</v>
      </c>
      <c r="C9" s="21" t="s">
        <v>54</v>
      </c>
      <c r="D9" s="33">
        <v>584.5</v>
      </c>
      <c r="E9" s="33">
        <f>D9*A9</f>
        <v>58450</v>
      </c>
      <c r="F9" s="1" t="s">
        <v>90</v>
      </c>
      <c r="G9" s="1">
        <v>291.99</v>
      </c>
      <c r="H9" s="37">
        <f>G9*1.18</f>
        <v>344.54820000000001</v>
      </c>
      <c r="I9" s="37">
        <f>H9*A9</f>
        <v>34454.82</v>
      </c>
    </row>
    <row r="10" spans="1:9">
      <c r="A10" s="11">
        <v>25</v>
      </c>
      <c r="B10" s="2" t="s">
        <v>104</v>
      </c>
      <c r="C10" s="21" t="s">
        <v>54</v>
      </c>
      <c r="D10" s="33">
        <v>413</v>
      </c>
      <c r="E10" s="33">
        <f t="shared" ref="E10:E15" si="0">D10*A10</f>
        <v>10325</v>
      </c>
      <c r="F10" s="1" t="s">
        <v>90</v>
      </c>
      <c r="G10" s="1">
        <v>203.54</v>
      </c>
      <c r="H10" s="37">
        <f t="shared" ref="H10:H15" si="1">G10*1.18</f>
        <v>240.17719999999997</v>
      </c>
      <c r="I10" s="37">
        <f t="shared" ref="I10:I15" si="2">H10*A10</f>
        <v>6004.4299999999994</v>
      </c>
    </row>
    <row r="11" spans="1:9">
      <c r="A11" s="11">
        <v>100</v>
      </c>
      <c r="B11" s="2" t="s">
        <v>74</v>
      </c>
      <c r="C11" s="21" t="s">
        <v>54</v>
      </c>
      <c r="D11" s="33">
        <v>502</v>
      </c>
      <c r="E11" s="33">
        <f t="shared" si="0"/>
        <v>50200</v>
      </c>
      <c r="F11" s="1" t="s">
        <v>61</v>
      </c>
      <c r="G11" s="1">
        <v>312.92</v>
      </c>
      <c r="H11" s="37">
        <f t="shared" si="1"/>
        <v>369.24560000000002</v>
      </c>
      <c r="I11" s="37">
        <f t="shared" si="2"/>
        <v>36924.560000000005</v>
      </c>
    </row>
    <row r="12" spans="1:9">
      <c r="A12" s="11">
        <v>100</v>
      </c>
      <c r="B12" s="2" t="s">
        <v>74</v>
      </c>
      <c r="C12" s="21" t="s">
        <v>54</v>
      </c>
      <c r="D12" s="33">
        <v>502</v>
      </c>
      <c r="E12" s="33">
        <f t="shared" si="0"/>
        <v>50200</v>
      </c>
      <c r="F12" s="1" t="s">
        <v>61</v>
      </c>
      <c r="G12" s="1">
        <v>312.92</v>
      </c>
      <c r="H12" s="37">
        <f t="shared" si="1"/>
        <v>369.24560000000002</v>
      </c>
      <c r="I12" s="37">
        <f t="shared" si="2"/>
        <v>36924.560000000005</v>
      </c>
    </row>
    <row r="13" spans="1:9" s="25" customFormat="1" ht="30">
      <c r="A13" s="11">
        <v>25000</v>
      </c>
      <c r="B13" s="29" t="s">
        <v>88</v>
      </c>
      <c r="C13" s="21" t="s">
        <v>54</v>
      </c>
      <c r="D13" s="33">
        <v>2.1</v>
      </c>
      <c r="E13" s="33">
        <f t="shared" si="0"/>
        <v>52500</v>
      </c>
      <c r="F13" s="24" t="s">
        <v>108</v>
      </c>
      <c r="G13" s="21">
        <f>0.9113+0.0439</f>
        <v>0.95520000000000005</v>
      </c>
      <c r="H13" s="38">
        <f t="shared" si="1"/>
        <v>1.1271359999999999</v>
      </c>
      <c r="I13" s="38">
        <f t="shared" si="2"/>
        <v>28178.399999999998</v>
      </c>
    </row>
    <row r="14" spans="1:9">
      <c r="A14" s="11">
        <v>200</v>
      </c>
      <c r="B14" s="29" t="s">
        <v>106</v>
      </c>
      <c r="C14" s="21" t="s">
        <v>54</v>
      </c>
      <c r="D14" s="41">
        <v>0.4</v>
      </c>
      <c r="E14" s="33">
        <f t="shared" si="0"/>
        <v>80</v>
      </c>
      <c r="F14" s="24"/>
      <c r="G14" s="21"/>
      <c r="H14" s="38">
        <f t="shared" si="1"/>
        <v>0</v>
      </c>
      <c r="I14" s="38">
        <f t="shared" si="2"/>
        <v>0</v>
      </c>
    </row>
    <row r="15" spans="1:9" s="22" customFormat="1">
      <c r="A15" s="12">
        <v>12</v>
      </c>
      <c r="B15" s="30" t="s">
        <v>107</v>
      </c>
      <c r="C15" s="1" t="s">
        <v>54</v>
      </c>
      <c r="D15" s="48">
        <v>242</v>
      </c>
      <c r="E15" s="49">
        <f t="shared" si="0"/>
        <v>2904</v>
      </c>
      <c r="F15" s="23" t="s">
        <v>90</v>
      </c>
      <c r="G15" s="1">
        <v>69.66</v>
      </c>
      <c r="H15" s="37">
        <f t="shared" si="1"/>
        <v>82.198799999999991</v>
      </c>
      <c r="I15" s="37">
        <f t="shared" si="2"/>
        <v>986.38559999999984</v>
      </c>
    </row>
    <row r="16" spans="1:9">
      <c r="A16" s="28"/>
      <c r="B16" s="2"/>
      <c r="C16" s="21"/>
      <c r="D16" s="33"/>
      <c r="E16" s="34">
        <f>SUM(E9:E15)</f>
        <v>224659</v>
      </c>
      <c r="F16" s="1"/>
      <c r="G16" s="1"/>
      <c r="H16" s="36"/>
      <c r="I16" s="39">
        <f>SUM(I9:I15)</f>
        <v>143473.1556</v>
      </c>
    </row>
    <row r="17" spans="4:9">
      <c r="D17" s="42"/>
      <c r="E17" s="42"/>
      <c r="H17" s="47"/>
      <c r="I17" s="47"/>
    </row>
  </sheetData>
  <mergeCells count="12">
    <mergeCell ref="G7:G8"/>
    <mergeCell ref="H7:I7"/>
    <mergeCell ref="A3:I3"/>
    <mergeCell ref="A4:I4"/>
    <mergeCell ref="A5:I5"/>
    <mergeCell ref="A6:E6"/>
    <mergeCell ref="F6:I6"/>
    <mergeCell ref="A7:A8"/>
    <mergeCell ref="B7:B8"/>
    <mergeCell ref="C7:C8"/>
    <mergeCell ref="D7:E7"/>
    <mergeCell ref="F7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Detalle costos de importación</vt:lpstr>
      <vt:lpstr>Lambayeque</vt:lpstr>
      <vt:lpstr>Arequipa</vt:lpstr>
      <vt:lpstr>La Libertad</vt:lpstr>
      <vt:lpstr>Piura</vt:lpstr>
      <vt:lpstr>Ica</vt:lpstr>
      <vt:lpstr>Tacna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Dora Gallardo</dc:creator>
  <cp:lastModifiedBy>HERBERT MUJICA</cp:lastModifiedBy>
  <cp:lastPrinted>2018-05-04T16:51:58Z</cp:lastPrinted>
  <dcterms:created xsi:type="dcterms:W3CDTF">2018-05-02T19:17:08Z</dcterms:created>
  <dcterms:modified xsi:type="dcterms:W3CDTF">2018-05-05T16:45:05Z</dcterms:modified>
</cp:coreProperties>
</file>